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perations\Plans-Training-Analysis\APBI-Industry Engagement\2022\Registration-Attendance\Posting to VOA\"/>
    </mc:Choice>
  </mc:AlternateContent>
  <xr:revisionPtr revIDLastSave="0" documentId="13_ncr:1_{A77DB907-B23F-4A25-ADBE-857D1A73F2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BI Vendor Attendees" sheetId="1" r:id="rId1"/>
  </sheets>
  <definedNames>
    <definedName name="_xlnm._FilterDatabase" localSheetId="0" hidden="1">'APBI Vendor Attendees'!$B$1:$N$427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F15" i="1"/>
  <c r="G15" i="1"/>
  <c r="H15" i="1"/>
  <c r="I15" i="1"/>
  <c r="J15" i="1"/>
  <c r="K15" i="1"/>
  <c r="L15" i="1"/>
  <c r="M15" i="1"/>
  <c r="N15" i="1"/>
  <c r="D271" i="1"/>
  <c r="F271" i="1"/>
  <c r="G271" i="1"/>
  <c r="H271" i="1"/>
  <c r="I271" i="1"/>
  <c r="J271" i="1"/>
  <c r="K271" i="1"/>
  <c r="L271" i="1"/>
  <c r="M271" i="1"/>
  <c r="N271" i="1"/>
  <c r="D193" i="1"/>
  <c r="F193" i="1"/>
  <c r="G193" i="1"/>
  <c r="H193" i="1"/>
  <c r="I193" i="1"/>
  <c r="J193" i="1"/>
  <c r="K193" i="1"/>
  <c r="L193" i="1"/>
  <c r="M193" i="1"/>
  <c r="N193" i="1"/>
  <c r="D295" i="1"/>
  <c r="F295" i="1"/>
  <c r="G295" i="1"/>
  <c r="H295" i="1"/>
  <c r="I295" i="1"/>
  <c r="J295" i="1"/>
  <c r="K295" i="1"/>
  <c r="L295" i="1"/>
  <c r="M295" i="1"/>
  <c r="N295" i="1"/>
  <c r="D145" i="1"/>
  <c r="F145" i="1"/>
  <c r="G145" i="1"/>
  <c r="H145" i="1"/>
  <c r="I145" i="1"/>
  <c r="J145" i="1"/>
  <c r="K145" i="1"/>
  <c r="L145" i="1"/>
  <c r="M145" i="1"/>
  <c r="N145" i="1"/>
  <c r="D341" i="1"/>
  <c r="F341" i="1"/>
  <c r="G341" i="1"/>
  <c r="H341" i="1"/>
  <c r="I341" i="1"/>
  <c r="J341" i="1"/>
  <c r="K341" i="1"/>
  <c r="L341" i="1"/>
  <c r="M341" i="1"/>
  <c r="N341" i="1"/>
  <c r="D287" i="1"/>
  <c r="F287" i="1"/>
  <c r="G287" i="1"/>
  <c r="H287" i="1"/>
  <c r="I287" i="1"/>
  <c r="J287" i="1"/>
  <c r="K287" i="1"/>
  <c r="L287" i="1"/>
  <c r="M287" i="1"/>
  <c r="N287" i="1"/>
  <c r="D268" i="1"/>
  <c r="F268" i="1"/>
  <c r="G268" i="1"/>
  <c r="H268" i="1"/>
  <c r="I268" i="1"/>
  <c r="J268" i="1"/>
  <c r="K268" i="1"/>
  <c r="L268" i="1"/>
  <c r="M268" i="1"/>
  <c r="N268" i="1"/>
  <c r="D4" i="1"/>
  <c r="F4" i="1"/>
  <c r="G4" i="1"/>
  <c r="H4" i="1"/>
  <c r="I4" i="1"/>
  <c r="J4" i="1"/>
  <c r="K4" i="1"/>
  <c r="L4" i="1"/>
  <c r="M4" i="1"/>
  <c r="N4" i="1"/>
  <c r="D217" i="1"/>
  <c r="F217" i="1"/>
  <c r="G217" i="1"/>
  <c r="H217" i="1"/>
  <c r="I217" i="1"/>
  <c r="J217" i="1"/>
  <c r="K217" i="1"/>
  <c r="L217" i="1"/>
  <c r="M217" i="1"/>
  <c r="N217" i="1"/>
  <c r="D29" i="1"/>
  <c r="F29" i="1"/>
  <c r="G29" i="1"/>
  <c r="H29" i="1"/>
  <c r="I29" i="1"/>
  <c r="J29" i="1"/>
  <c r="K29" i="1"/>
  <c r="L29" i="1"/>
  <c r="M29" i="1"/>
  <c r="N29" i="1"/>
  <c r="D106" i="1"/>
  <c r="F106" i="1"/>
  <c r="G106" i="1"/>
  <c r="H106" i="1"/>
  <c r="I106" i="1"/>
  <c r="J106" i="1"/>
  <c r="K106" i="1"/>
  <c r="L106" i="1"/>
  <c r="M106" i="1"/>
  <c r="N106" i="1"/>
  <c r="D158" i="1"/>
  <c r="F158" i="1"/>
  <c r="G158" i="1"/>
  <c r="H158" i="1"/>
  <c r="I158" i="1"/>
  <c r="J158" i="1"/>
  <c r="K158" i="1"/>
  <c r="L158" i="1"/>
  <c r="M158" i="1"/>
  <c r="N158" i="1"/>
  <c r="D66" i="1"/>
  <c r="F66" i="1"/>
  <c r="G66" i="1"/>
  <c r="H66" i="1"/>
  <c r="I66" i="1"/>
  <c r="J66" i="1"/>
  <c r="K66" i="1"/>
  <c r="L66" i="1"/>
  <c r="M66" i="1"/>
  <c r="N66" i="1"/>
  <c r="D78" i="1"/>
  <c r="F78" i="1"/>
  <c r="G78" i="1"/>
  <c r="H78" i="1"/>
  <c r="I78" i="1"/>
  <c r="J78" i="1"/>
  <c r="K78" i="1"/>
  <c r="L78" i="1"/>
  <c r="M78" i="1"/>
  <c r="N78" i="1"/>
  <c r="D24" i="1"/>
  <c r="F24" i="1"/>
  <c r="G24" i="1"/>
  <c r="H24" i="1"/>
  <c r="I24" i="1"/>
  <c r="J24" i="1"/>
  <c r="K24" i="1"/>
  <c r="L24" i="1"/>
  <c r="M24" i="1"/>
  <c r="N24" i="1"/>
  <c r="D51" i="1"/>
  <c r="F51" i="1"/>
  <c r="G51" i="1"/>
  <c r="H51" i="1"/>
  <c r="I51" i="1"/>
  <c r="J51" i="1"/>
  <c r="K51" i="1"/>
  <c r="L51" i="1"/>
  <c r="M51" i="1"/>
  <c r="N51" i="1"/>
  <c r="D209" i="1"/>
  <c r="F209" i="1"/>
  <c r="G209" i="1"/>
  <c r="H209" i="1"/>
  <c r="I209" i="1"/>
  <c r="J209" i="1"/>
  <c r="K209" i="1"/>
  <c r="L209" i="1"/>
  <c r="M209" i="1"/>
  <c r="N209" i="1"/>
  <c r="D67" i="1"/>
  <c r="F67" i="1"/>
  <c r="G67" i="1"/>
  <c r="H67" i="1"/>
  <c r="I67" i="1"/>
  <c r="J67" i="1"/>
  <c r="K67" i="1"/>
  <c r="L67" i="1"/>
  <c r="M67" i="1"/>
  <c r="N67" i="1"/>
  <c r="D87" i="1"/>
  <c r="F87" i="1"/>
  <c r="G87" i="1"/>
  <c r="H87" i="1"/>
  <c r="I87" i="1"/>
  <c r="J87" i="1"/>
  <c r="K87" i="1"/>
  <c r="L87" i="1"/>
  <c r="M87" i="1"/>
  <c r="N87" i="1"/>
  <c r="D347" i="1"/>
  <c r="F347" i="1"/>
  <c r="G347" i="1"/>
  <c r="H347" i="1"/>
  <c r="I347" i="1"/>
  <c r="J347" i="1"/>
  <c r="K347" i="1"/>
  <c r="L347" i="1"/>
  <c r="M347" i="1"/>
  <c r="N347" i="1"/>
  <c r="D360" i="1"/>
  <c r="F360" i="1"/>
  <c r="G360" i="1"/>
  <c r="H360" i="1"/>
  <c r="I360" i="1"/>
  <c r="J360" i="1"/>
  <c r="K360" i="1"/>
  <c r="L360" i="1"/>
  <c r="M360" i="1"/>
  <c r="N360" i="1"/>
  <c r="D385" i="1"/>
  <c r="F385" i="1"/>
  <c r="G385" i="1"/>
  <c r="H385" i="1"/>
  <c r="I385" i="1"/>
  <c r="J385" i="1"/>
  <c r="K385" i="1"/>
  <c r="L385" i="1"/>
  <c r="M385" i="1"/>
  <c r="N385" i="1"/>
  <c r="D297" i="1"/>
  <c r="F297" i="1"/>
  <c r="G297" i="1"/>
  <c r="H297" i="1"/>
  <c r="I297" i="1"/>
  <c r="J297" i="1"/>
  <c r="K297" i="1"/>
  <c r="L297" i="1"/>
  <c r="M297" i="1"/>
  <c r="N297" i="1"/>
  <c r="D218" i="1"/>
  <c r="F218" i="1"/>
  <c r="G218" i="1"/>
  <c r="H218" i="1"/>
  <c r="I218" i="1"/>
  <c r="J218" i="1"/>
  <c r="K218" i="1"/>
  <c r="L218" i="1"/>
  <c r="M218" i="1"/>
  <c r="N218" i="1"/>
  <c r="D236" i="1"/>
  <c r="F236" i="1"/>
  <c r="G236" i="1"/>
  <c r="H236" i="1"/>
  <c r="I236" i="1"/>
  <c r="J236" i="1"/>
  <c r="K236" i="1"/>
  <c r="L236" i="1"/>
  <c r="M236" i="1"/>
  <c r="N236" i="1"/>
  <c r="D250" i="1"/>
  <c r="F250" i="1"/>
  <c r="G250" i="1"/>
  <c r="H250" i="1"/>
  <c r="I250" i="1"/>
  <c r="J250" i="1"/>
  <c r="K250" i="1"/>
  <c r="L250" i="1"/>
  <c r="M250" i="1"/>
  <c r="N250" i="1"/>
  <c r="D152" i="1"/>
  <c r="F152" i="1"/>
  <c r="G152" i="1"/>
  <c r="H152" i="1"/>
  <c r="I152" i="1"/>
  <c r="J152" i="1"/>
  <c r="K152" i="1"/>
  <c r="L152" i="1"/>
  <c r="M152" i="1"/>
  <c r="N152" i="1"/>
  <c r="D136" i="1"/>
  <c r="F136" i="1"/>
  <c r="G136" i="1"/>
  <c r="H136" i="1"/>
  <c r="I136" i="1"/>
  <c r="J136" i="1"/>
  <c r="K136" i="1"/>
  <c r="L136" i="1"/>
  <c r="M136" i="1"/>
  <c r="N136" i="1"/>
  <c r="D147" i="1"/>
  <c r="F147" i="1"/>
  <c r="G147" i="1"/>
  <c r="H147" i="1"/>
  <c r="I147" i="1"/>
  <c r="J147" i="1"/>
  <c r="K147" i="1"/>
  <c r="L147" i="1"/>
  <c r="M147" i="1"/>
  <c r="N147" i="1"/>
  <c r="D179" i="1"/>
  <c r="F179" i="1"/>
  <c r="G179" i="1"/>
  <c r="H179" i="1"/>
  <c r="I179" i="1"/>
  <c r="J179" i="1"/>
  <c r="K179" i="1"/>
  <c r="L179" i="1"/>
  <c r="M179" i="1"/>
  <c r="N179" i="1"/>
  <c r="D306" i="1"/>
  <c r="F306" i="1"/>
  <c r="G306" i="1"/>
  <c r="H306" i="1"/>
  <c r="I306" i="1"/>
  <c r="J306" i="1"/>
  <c r="K306" i="1"/>
  <c r="L306" i="1"/>
  <c r="M306" i="1"/>
  <c r="N306" i="1"/>
  <c r="D327" i="1"/>
  <c r="F327" i="1"/>
  <c r="G327" i="1"/>
  <c r="H327" i="1"/>
  <c r="I327" i="1"/>
  <c r="J327" i="1"/>
  <c r="K327" i="1"/>
  <c r="L327" i="1"/>
  <c r="M327" i="1"/>
  <c r="N327" i="1"/>
  <c r="D21" i="1"/>
  <c r="F21" i="1"/>
  <c r="G21" i="1"/>
  <c r="H21" i="1"/>
  <c r="I21" i="1"/>
  <c r="J21" i="1"/>
  <c r="K21" i="1"/>
  <c r="L21" i="1"/>
  <c r="M21" i="1"/>
  <c r="N21" i="1"/>
  <c r="D81" i="1"/>
  <c r="F81" i="1"/>
  <c r="G81" i="1"/>
  <c r="H81" i="1"/>
  <c r="I81" i="1"/>
  <c r="J81" i="1"/>
  <c r="K81" i="1"/>
  <c r="L81" i="1"/>
  <c r="M81" i="1"/>
  <c r="N81" i="1"/>
  <c r="D238" i="1"/>
  <c r="F238" i="1"/>
  <c r="G238" i="1"/>
  <c r="H238" i="1"/>
  <c r="I238" i="1"/>
  <c r="J238" i="1"/>
  <c r="K238" i="1"/>
  <c r="L238" i="1"/>
  <c r="M238" i="1"/>
  <c r="N238" i="1"/>
  <c r="D246" i="1"/>
  <c r="F246" i="1"/>
  <c r="G246" i="1"/>
  <c r="H246" i="1"/>
  <c r="I246" i="1"/>
  <c r="J246" i="1"/>
  <c r="K246" i="1"/>
  <c r="L246" i="1"/>
  <c r="M246" i="1"/>
  <c r="N246" i="1"/>
  <c r="D321" i="1"/>
  <c r="F321" i="1"/>
  <c r="G321" i="1"/>
  <c r="H321" i="1"/>
  <c r="I321" i="1"/>
  <c r="J321" i="1"/>
  <c r="K321" i="1"/>
  <c r="L321" i="1"/>
  <c r="M321" i="1"/>
  <c r="N321" i="1"/>
  <c r="D190" i="1"/>
  <c r="F190" i="1"/>
  <c r="G190" i="1"/>
  <c r="H190" i="1"/>
  <c r="I190" i="1"/>
  <c r="J190" i="1"/>
  <c r="K190" i="1"/>
  <c r="L190" i="1"/>
  <c r="M190" i="1"/>
  <c r="N190" i="1"/>
  <c r="D389" i="1"/>
  <c r="F389" i="1"/>
  <c r="G389" i="1"/>
  <c r="H389" i="1"/>
  <c r="I389" i="1"/>
  <c r="J389" i="1"/>
  <c r="K389" i="1"/>
  <c r="L389" i="1"/>
  <c r="M389" i="1"/>
  <c r="N389" i="1"/>
  <c r="D184" i="1"/>
  <c r="F184" i="1"/>
  <c r="G184" i="1"/>
  <c r="H184" i="1"/>
  <c r="I184" i="1"/>
  <c r="J184" i="1"/>
  <c r="K184" i="1"/>
  <c r="L184" i="1"/>
  <c r="M184" i="1"/>
  <c r="N184" i="1"/>
  <c r="D215" i="1"/>
  <c r="F215" i="1"/>
  <c r="G215" i="1"/>
  <c r="H215" i="1"/>
  <c r="I215" i="1"/>
  <c r="J215" i="1"/>
  <c r="K215" i="1"/>
  <c r="L215" i="1"/>
  <c r="M215" i="1"/>
  <c r="N215" i="1"/>
  <c r="D60" i="1"/>
  <c r="F60" i="1"/>
  <c r="G60" i="1"/>
  <c r="H60" i="1"/>
  <c r="I60" i="1"/>
  <c r="J60" i="1"/>
  <c r="K60" i="1"/>
  <c r="L60" i="1"/>
  <c r="M60" i="1"/>
  <c r="N60" i="1"/>
  <c r="D408" i="1"/>
  <c r="F408" i="1"/>
  <c r="G408" i="1"/>
  <c r="H408" i="1"/>
  <c r="I408" i="1"/>
  <c r="J408" i="1"/>
  <c r="K408" i="1"/>
  <c r="L408" i="1"/>
  <c r="M408" i="1"/>
  <c r="N408" i="1"/>
  <c r="D257" i="1"/>
  <c r="F257" i="1"/>
  <c r="G257" i="1"/>
  <c r="H257" i="1"/>
  <c r="I257" i="1"/>
  <c r="J257" i="1"/>
  <c r="K257" i="1"/>
  <c r="L257" i="1"/>
  <c r="M257" i="1"/>
  <c r="N257" i="1"/>
  <c r="D172" i="1"/>
  <c r="F172" i="1"/>
  <c r="G172" i="1"/>
  <c r="H172" i="1"/>
  <c r="I172" i="1"/>
  <c r="J172" i="1"/>
  <c r="K172" i="1"/>
  <c r="L172" i="1"/>
  <c r="M172" i="1"/>
  <c r="N172" i="1"/>
  <c r="D310" i="1"/>
  <c r="F310" i="1"/>
  <c r="G310" i="1"/>
  <c r="H310" i="1"/>
  <c r="I310" i="1"/>
  <c r="J310" i="1"/>
  <c r="K310" i="1"/>
  <c r="L310" i="1"/>
  <c r="M310" i="1"/>
  <c r="N310" i="1"/>
  <c r="D285" i="1"/>
  <c r="F285" i="1"/>
  <c r="G285" i="1"/>
  <c r="H285" i="1"/>
  <c r="I285" i="1"/>
  <c r="J285" i="1"/>
  <c r="K285" i="1"/>
  <c r="L285" i="1"/>
  <c r="M285" i="1"/>
  <c r="N285" i="1"/>
  <c r="D338" i="1"/>
  <c r="F338" i="1"/>
  <c r="G338" i="1"/>
  <c r="H338" i="1"/>
  <c r="I338" i="1"/>
  <c r="J338" i="1"/>
  <c r="K338" i="1"/>
  <c r="L338" i="1"/>
  <c r="M338" i="1"/>
  <c r="N338" i="1"/>
  <c r="D367" i="1"/>
  <c r="F367" i="1"/>
  <c r="G367" i="1"/>
  <c r="H367" i="1"/>
  <c r="I367" i="1"/>
  <c r="J367" i="1"/>
  <c r="K367" i="1"/>
  <c r="L367" i="1"/>
  <c r="M367" i="1"/>
  <c r="N367" i="1"/>
  <c r="D353" i="1"/>
  <c r="F353" i="1"/>
  <c r="G353" i="1"/>
  <c r="H353" i="1"/>
  <c r="I353" i="1"/>
  <c r="J353" i="1"/>
  <c r="K353" i="1"/>
  <c r="L353" i="1"/>
  <c r="M353" i="1"/>
  <c r="N353" i="1"/>
  <c r="D8" i="1"/>
  <c r="F8" i="1"/>
  <c r="G8" i="1"/>
  <c r="H8" i="1"/>
  <c r="I8" i="1"/>
  <c r="J8" i="1"/>
  <c r="K8" i="1"/>
  <c r="L8" i="1"/>
  <c r="M8" i="1"/>
  <c r="N8" i="1"/>
  <c r="D280" i="1"/>
  <c r="F280" i="1"/>
  <c r="G280" i="1"/>
  <c r="H280" i="1"/>
  <c r="I280" i="1"/>
  <c r="J280" i="1"/>
  <c r="K280" i="1"/>
  <c r="L280" i="1"/>
  <c r="M280" i="1"/>
  <c r="N280" i="1"/>
  <c r="D117" i="1"/>
  <c r="F117" i="1"/>
  <c r="G117" i="1"/>
  <c r="H117" i="1"/>
  <c r="I117" i="1"/>
  <c r="J117" i="1"/>
  <c r="K117" i="1"/>
  <c r="L117" i="1"/>
  <c r="M117" i="1"/>
  <c r="N117" i="1"/>
  <c r="D53" i="1"/>
  <c r="F53" i="1"/>
  <c r="G53" i="1"/>
  <c r="H53" i="1"/>
  <c r="I53" i="1"/>
  <c r="J53" i="1"/>
  <c r="K53" i="1"/>
  <c r="L53" i="1"/>
  <c r="M53" i="1"/>
  <c r="N53" i="1"/>
  <c r="D260" i="1"/>
  <c r="F260" i="1"/>
  <c r="G260" i="1"/>
  <c r="H260" i="1"/>
  <c r="I260" i="1"/>
  <c r="J260" i="1"/>
  <c r="K260" i="1"/>
  <c r="L260" i="1"/>
  <c r="M260" i="1"/>
  <c r="N260" i="1"/>
  <c r="D420" i="1"/>
  <c r="F420" i="1"/>
  <c r="G420" i="1"/>
  <c r="H420" i="1"/>
  <c r="I420" i="1"/>
  <c r="J420" i="1"/>
  <c r="K420" i="1"/>
  <c r="L420" i="1"/>
  <c r="M420" i="1"/>
  <c r="N420" i="1"/>
  <c r="D255" i="1"/>
  <c r="F255" i="1"/>
  <c r="G255" i="1"/>
  <c r="H255" i="1"/>
  <c r="I255" i="1"/>
  <c r="J255" i="1"/>
  <c r="K255" i="1"/>
  <c r="L255" i="1"/>
  <c r="M255" i="1"/>
  <c r="N255" i="1"/>
  <c r="D49" i="1"/>
  <c r="F49" i="1"/>
  <c r="G49" i="1"/>
  <c r="H49" i="1"/>
  <c r="I49" i="1"/>
  <c r="J49" i="1"/>
  <c r="K49" i="1"/>
  <c r="L49" i="1"/>
  <c r="M49" i="1"/>
  <c r="N49" i="1"/>
  <c r="D55" i="1"/>
  <c r="F55" i="1"/>
  <c r="G55" i="1"/>
  <c r="H55" i="1"/>
  <c r="I55" i="1"/>
  <c r="J55" i="1"/>
  <c r="K55" i="1"/>
  <c r="L55" i="1"/>
  <c r="M55" i="1"/>
  <c r="N55" i="1"/>
  <c r="D118" i="1"/>
  <c r="F118" i="1"/>
  <c r="G118" i="1"/>
  <c r="H118" i="1"/>
  <c r="I118" i="1"/>
  <c r="J118" i="1"/>
  <c r="K118" i="1"/>
  <c r="L118" i="1"/>
  <c r="M118" i="1"/>
  <c r="N118" i="1"/>
  <c r="D228" i="1"/>
  <c r="F228" i="1"/>
  <c r="G228" i="1"/>
  <c r="H228" i="1"/>
  <c r="I228" i="1"/>
  <c r="J228" i="1"/>
  <c r="K228" i="1"/>
  <c r="L228" i="1"/>
  <c r="M228" i="1"/>
  <c r="N228" i="1"/>
  <c r="D167" i="1"/>
  <c r="F167" i="1"/>
  <c r="G167" i="1"/>
  <c r="H167" i="1"/>
  <c r="I167" i="1"/>
  <c r="J167" i="1"/>
  <c r="K167" i="1"/>
  <c r="L167" i="1"/>
  <c r="M167" i="1"/>
  <c r="N167" i="1"/>
  <c r="D65" i="1"/>
  <c r="F65" i="1"/>
  <c r="G65" i="1"/>
  <c r="H65" i="1"/>
  <c r="I65" i="1"/>
  <c r="J65" i="1"/>
  <c r="K65" i="1"/>
  <c r="L65" i="1"/>
  <c r="M65" i="1"/>
  <c r="N65" i="1"/>
  <c r="D154" i="1"/>
  <c r="F154" i="1"/>
  <c r="G154" i="1"/>
  <c r="H154" i="1"/>
  <c r="I154" i="1"/>
  <c r="J154" i="1"/>
  <c r="K154" i="1"/>
  <c r="L154" i="1"/>
  <c r="M154" i="1"/>
  <c r="N154" i="1"/>
  <c r="D32" i="1"/>
  <c r="F32" i="1"/>
  <c r="G32" i="1"/>
  <c r="H32" i="1"/>
  <c r="I32" i="1"/>
  <c r="J32" i="1"/>
  <c r="K32" i="1"/>
  <c r="L32" i="1"/>
  <c r="M32" i="1"/>
  <c r="N32" i="1"/>
  <c r="D281" i="1"/>
  <c r="F281" i="1"/>
  <c r="G281" i="1"/>
  <c r="H281" i="1"/>
  <c r="I281" i="1"/>
  <c r="J281" i="1"/>
  <c r="K281" i="1"/>
  <c r="L281" i="1"/>
  <c r="M281" i="1"/>
  <c r="N281" i="1"/>
  <c r="D211" i="1"/>
  <c r="F211" i="1"/>
  <c r="G211" i="1"/>
  <c r="H211" i="1"/>
  <c r="I211" i="1"/>
  <c r="J211" i="1"/>
  <c r="K211" i="1"/>
  <c r="L211" i="1"/>
  <c r="M211" i="1"/>
  <c r="N211" i="1"/>
  <c r="D223" i="1"/>
  <c r="F223" i="1"/>
  <c r="G223" i="1"/>
  <c r="H223" i="1"/>
  <c r="I223" i="1"/>
  <c r="J223" i="1"/>
  <c r="K223" i="1"/>
  <c r="L223" i="1"/>
  <c r="M223" i="1"/>
  <c r="N223" i="1"/>
  <c r="D273" i="1"/>
  <c r="F273" i="1"/>
  <c r="G273" i="1"/>
  <c r="H273" i="1"/>
  <c r="I273" i="1"/>
  <c r="J273" i="1"/>
  <c r="K273" i="1"/>
  <c r="L273" i="1"/>
  <c r="M273" i="1"/>
  <c r="N273" i="1"/>
  <c r="D73" i="1"/>
  <c r="F73" i="1"/>
  <c r="G73" i="1"/>
  <c r="H73" i="1"/>
  <c r="I73" i="1"/>
  <c r="J73" i="1"/>
  <c r="K73" i="1"/>
  <c r="L73" i="1"/>
  <c r="M73" i="1"/>
  <c r="N73" i="1"/>
  <c r="D69" i="1"/>
  <c r="F69" i="1"/>
  <c r="G69" i="1"/>
  <c r="H69" i="1"/>
  <c r="I69" i="1"/>
  <c r="J69" i="1"/>
  <c r="K69" i="1"/>
  <c r="L69" i="1"/>
  <c r="M69" i="1"/>
  <c r="N69" i="1"/>
  <c r="D404" i="1"/>
  <c r="F404" i="1"/>
  <c r="G404" i="1"/>
  <c r="H404" i="1"/>
  <c r="I404" i="1"/>
  <c r="J404" i="1"/>
  <c r="K404" i="1"/>
  <c r="L404" i="1"/>
  <c r="M404" i="1"/>
  <c r="N404" i="1"/>
  <c r="D194" i="1"/>
  <c r="F194" i="1"/>
  <c r="G194" i="1"/>
  <c r="H194" i="1"/>
  <c r="I194" i="1"/>
  <c r="J194" i="1"/>
  <c r="K194" i="1"/>
  <c r="L194" i="1"/>
  <c r="M194" i="1"/>
  <c r="N194" i="1"/>
  <c r="D369" i="1"/>
  <c r="F369" i="1"/>
  <c r="G369" i="1"/>
  <c r="H369" i="1"/>
  <c r="I369" i="1"/>
  <c r="J369" i="1"/>
  <c r="K369" i="1"/>
  <c r="L369" i="1"/>
  <c r="M369" i="1"/>
  <c r="N369" i="1"/>
  <c r="D335" i="1"/>
  <c r="F335" i="1"/>
  <c r="G335" i="1"/>
  <c r="H335" i="1"/>
  <c r="I335" i="1"/>
  <c r="J335" i="1"/>
  <c r="K335" i="1"/>
  <c r="L335" i="1"/>
  <c r="M335" i="1"/>
  <c r="N335" i="1"/>
  <c r="D230" i="1"/>
  <c r="F230" i="1"/>
  <c r="G230" i="1"/>
  <c r="H230" i="1"/>
  <c r="I230" i="1"/>
  <c r="J230" i="1"/>
  <c r="K230" i="1"/>
  <c r="L230" i="1"/>
  <c r="M230" i="1"/>
  <c r="N230" i="1"/>
  <c r="D263" i="1"/>
  <c r="F263" i="1"/>
  <c r="G263" i="1"/>
  <c r="H263" i="1"/>
  <c r="I263" i="1"/>
  <c r="J263" i="1"/>
  <c r="K263" i="1"/>
  <c r="L263" i="1"/>
  <c r="M263" i="1"/>
  <c r="N263" i="1"/>
  <c r="D419" i="1"/>
  <c r="F419" i="1"/>
  <c r="G419" i="1"/>
  <c r="H419" i="1"/>
  <c r="I419" i="1"/>
  <c r="J419" i="1"/>
  <c r="K419" i="1"/>
  <c r="L419" i="1"/>
  <c r="M419" i="1"/>
  <c r="N419" i="1"/>
  <c r="D138" i="1"/>
  <c r="F138" i="1"/>
  <c r="G138" i="1"/>
  <c r="H138" i="1"/>
  <c r="I138" i="1"/>
  <c r="J138" i="1"/>
  <c r="K138" i="1"/>
  <c r="L138" i="1"/>
  <c r="M138" i="1"/>
  <c r="N138" i="1"/>
  <c r="D16" i="1"/>
  <c r="F16" i="1"/>
  <c r="G16" i="1"/>
  <c r="H16" i="1"/>
  <c r="I16" i="1"/>
  <c r="J16" i="1"/>
  <c r="K16" i="1"/>
  <c r="L16" i="1"/>
  <c r="M16" i="1"/>
  <c r="N16" i="1"/>
  <c r="D72" i="1"/>
  <c r="F72" i="1"/>
  <c r="G72" i="1"/>
  <c r="H72" i="1"/>
  <c r="I72" i="1"/>
  <c r="J72" i="1"/>
  <c r="K72" i="1"/>
  <c r="L72" i="1"/>
  <c r="M72" i="1"/>
  <c r="N72" i="1"/>
  <c r="D91" i="1"/>
  <c r="F91" i="1"/>
  <c r="G91" i="1"/>
  <c r="H91" i="1"/>
  <c r="I91" i="1"/>
  <c r="J91" i="1"/>
  <c r="K91" i="1"/>
  <c r="L91" i="1"/>
  <c r="M91" i="1"/>
  <c r="N91" i="1"/>
  <c r="D227" i="1"/>
  <c r="F227" i="1"/>
  <c r="G227" i="1"/>
  <c r="H227" i="1"/>
  <c r="I227" i="1"/>
  <c r="J227" i="1"/>
  <c r="K227" i="1"/>
  <c r="L227" i="1"/>
  <c r="M227" i="1"/>
  <c r="N227" i="1"/>
  <c r="D28" i="1"/>
  <c r="F28" i="1"/>
  <c r="G28" i="1"/>
  <c r="H28" i="1"/>
  <c r="I28" i="1"/>
  <c r="J28" i="1"/>
  <c r="K28" i="1"/>
  <c r="L28" i="1"/>
  <c r="M28" i="1"/>
  <c r="N28" i="1"/>
  <c r="D2" i="1"/>
  <c r="F2" i="1"/>
  <c r="G2" i="1"/>
  <c r="H2" i="1"/>
  <c r="I2" i="1"/>
  <c r="J2" i="1"/>
  <c r="K2" i="1"/>
  <c r="L2" i="1"/>
  <c r="M2" i="1"/>
  <c r="N2" i="1"/>
  <c r="D101" i="1"/>
  <c r="F101" i="1"/>
  <c r="G101" i="1"/>
  <c r="H101" i="1"/>
  <c r="I101" i="1"/>
  <c r="J101" i="1"/>
  <c r="K101" i="1"/>
  <c r="L101" i="1"/>
  <c r="M101" i="1"/>
  <c r="N101" i="1"/>
  <c r="D102" i="1"/>
  <c r="F102" i="1"/>
  <c r="G102" i="1"/>
  <c r="H102" i="1"/>
  <c r="I102" i="1"/>
  <c r="J102" i="1"/>
  <c r="K102" i="1"/>
  <c r="L102" i="1"/>
  <c r="M102" i="1"/>
  <c r="N102" i="1"/>
  <c r="D232" i="1"/>
  <c r="F232" i="1"/>
  <c r="G232" i="1"/>
  <c r="H232" i="1"/>
  <c r="I232" i="1"/>
  <c r="J232" i="1"/>
  <c r="K232" i="1"/>
  <c r="L232" i="1"/>
  <c r="M232" i="1"/>
  <c r="N232" i="1"/>
  <c r="D241" i="1"/>
  <c r="F241" i="1"/>
  <c r="G241" i="1"/>
  <c r="H241" i="1"/>
  <c r="I241" i="1"/>
  <c r="J241" i="1"/>
  <c r="K241" i="1"/>
  <c r="L241" i="1"/>
  <c r="M241" i="1"/>
  <c r="N241" i="1"/>
  <c r="D201" i="1"/>
  <c r="F201" i="1"/>
  <c r="G201" i="1"/>
  <c r="H201" i="1"/>
  <c r="I201" i="1"/>
  <c r="J201" i="1"/>
  <c r="K201" i="1"/>
  <c r="L201" i="1"/>
  <c r="M201" i="1"/>
  <c r="N201" i="1"/>
  <c r="D141" i="1"/>
  <c r="F141" i="1"/>
  <c r="G141" i="1"/>
  <c r="H141" i="1"/>
  <c r="I141" i="1"/>
  <c r="J141" i="1"/>
  <c r="K141" i="1"/>
  <c r="L141" i="1"/>
  <c r="M141" i="1"/>
  <c r="N141" i="1"/>
  <c r="D309" i="1"/>
  <c r="F309" i="1"/>
  <c r="G309" i="1"/>
  <c r="H309" i="1"/>
  <c r="I309" i="1"/>
  <c r="J309" i="1"/>
  <c r="K309" i="1"/>
  <c r="L309" i="1"/>
  <c r="M309" i="1"/>
  <c r="N309" i="1"/>
  <c r="D156" i="1"/>
  <c r="F156" i="1"/>
  <c r="G156" i="1"/>
  <c r="H156" i="1"/>
  <c r="I156" i="1"/>
  <c r="J156" i="1"/>
  <c r="K156" i="1"/>
  <c r="L156" i="1"/>
  <c r="M156" i="1"/>
  <c r="N156" i="1"/>
  <c r="D161" i="1"/>
  <c r="F161" i="1"/>
  <c r="G161" i="1"/>
  <c r="H161" i="1"/>
  <c r="I161" i="1"/>
  <c r="J161" i="1"/>
  <c r="K161" i="1"/>
  <c r="L161" i="1"/>
  <c r="M161" i="1"/>
  <c r="N161" i="1"/>
  <c r="D58" i="1"/>
  <c r="F58" i="1"/>
  <c r="G58" i="1"/>
  <c r="H58" i="1"/>
  <c r="I58" i="1"/>
  <c r="J58" i="1"/>
  <c r="K58" i="1"/>
  <c r="L58" i="1"/>
  <c r="M58" i="1"/>
  <c r="N58" i="1"/>
  <c r="D233" i="1"/>
  <c r="F233" i="1"/>
  <c r="G233" i="1"/>
  <c r="H233" i="1"/>
  <c r="I233" i="1"/>
  <c r="J233" i="1"/>
  <c r="K233" i="1"/>
  <c r="L233" i="1"/>
  <c r="M233" i="1"/>
  <c r="N233" i="1"/>
  <c r="D345" i="1"/>
  <c r="F345" i="1"/>
  <c r="G345" i="1"/>
  <c r="H345" i="1"/>
  <c r="I345" i="1"/>
  <c r="J345" i="1"/>
  <c r="K345" i="1"/>
  <c r="L345" i="1"/>
  <c r="M345" i="1"/>
  <c r="N345" i="1"/>
  <c r="D191" i="1"/>
  <c r="F191" i="1"/>
  <c r="G191" i="1"/>
  <c r="H191" i="1"/>
  <c r="I191" i="1"/>
  <c r="J191" i="1"/>
  <c r="K191" i="1"/>
  <c r="L191" i="1"/>
  <c r="M191" i="1"/>
  <c r="N191" i="1"/>
  <c r="D286" i="1"/>
  <c r="F286" i="1"/>
  <c r="G286" i="1"/>
  <c r="H286" i="1"/>
  <c r="I286" i="1"/>
  <c r="J286" i="1"/>
  <c r="K286" i="1"/>
  <c r="L286" i="1"/>
  <c r="M286" i="1"/>
  <c r="N286" i="1"/>
  <c r="D377" i="1"/>
  <c r="F377" i="1"/>
  <c r="G377" i="1"/>
  <c r="H377" i="1"/>
  <c r="I377" i="1"/>
  <c r="J377" i="1"/>
  <c r="K377" i="1"/>
  <c r="L377" i="1"/>
  <c r="M377" i="1"/>
  <c r="N377" i="1"/>
  <c r="D413" i="1"/>
  <c r="F413" i="1"/>
  <c r="G413" i="1"/>
  <c r="H413" i="1"/>
  <c r="I413" i="1"/>
  <c r="J413" i="1"/>
  <c r="K413" i="1"/>
  <c r="L413" i="1"/>
  <c r="M413" i="1"/>
  <c r="N413" i="1"/>
  <c r="D426" i="1"/>
  <c r="F426" i="1"/>
  <c r="G426" i="1"/>
  <c r="H426" i="1"/>
  <c r="I426" i="1"/>
  <c r="J426" i="1"/>
  <c r="K426" i="1"/>
  <c r="L426" i="1"/>
  <c r="M426" i="1"/>
  <c r="N426" i="1"/>
  <c r="D18" i="1"/>
  <c r="F18" i="1"/>
  <c r="G18" i="1"/>
  <c r="H18" i="1"/>
  <c r="I18" i="1"/>
  <c r="J18" i="1"/>
  <c r="K18" i="1"/>
  <c r="L18" i="1"/>
  <c r="M18" i="1"/>
  <c r="N18" i="1"/>
  <c r="D225" i="1"/>
  <c r="F225" i="1"/>
  <c r="G225" i="1"/>
  <c r="H225" i="1"/>
  <c r="I225" i="1"/>
  <c r="J225" i="1"/>
  <c r="K225" i="1"/>
  <c r="L225" i="1"/>
  <c r="M225" i="1"/>
  <c r="N225" i="1"/>
  <c r="D293" i="1"/>
  <c r="F293" i="1"/>
  <c r="G293" i="1"/>
  <c r="H293" i="1"/>
  <c r="I293" i="1"/>
  <c r="J293" i="1"/>
  <c r="K293" i="1"/>
  <c r="L293" i="1"/>
  <c r="M293" i="1"/>
  <c r="N293" i="1"/>
  <c r="D11" i="1"/>
  <c r="F11" i="1"/>
  <c r="G11" i="1"/>
  <c r="H11" i="1"/>
  <c r="I11" i="1"/>
  <c r="J11" i="1"/>
  <c r="K11" i="1"/>
  <c r="L11" i="1"/>
  <c r="M11" i="1"/>
  <c r="N11" i="1"/>
  <c r="D235" i="1"/>
  <c r="F235" i="1"/>
  <c r="G235" i="1"/>
  <c r="H235" i="1"/>
  <c r="I235" i="1"/>
  <c r="J235" i="1"/>
  <c r="K235" i="1"/>
  <c r="L235" i="1"/>
  <c r="M235" i="1"/>
  <c r="N235" i="1"/>
  <c r="D423" i="1"/>
  <c r="F423" i="1"/>
  <c r="G423" i="1"/>
  <c r="H423" i="1"/>
  <c r="I423" i="1"/>
  <c r="J423" i="1"/>
  <c r="K423" i="1"/>
  <c r="L423" i="1"/>
  <c r="M423" i="1"/>
  <c r="N423" i="1"/>
  <c r="D120" i="1"/>
  <c r="F120" i="1"/>
  <c r="G120" i="1"/>
  <c r="H120" i="1"/>
  <c r="I120" i="1"/>
  <c r="J120" i="1"/>
  <c r="K120" i="1"/>
  <c r="L120" i="1"/>
  <c r="M120" i="1"/>
  <c r="N120" i="1"/>
  <c r="D134" i="1"/>
  <c r="F134" i="1"/>
  <c r="G134" i="1"/>
  <c r="H134" i="1"/>
  <c r="I134" i="1"/>
  <c r="J134" i="1"/>
  <c r="K134" i="1"/>
  <c r="L134" i="1"/>
  <c r="M134" i="1"/>
  <c r="N134" i="1"/>
  <c r="D324" i="1"/>
  <c r="F324" i="1"/>
  <c r="G324" i="1"/>
  <c r="H324" i="1"/>
  <c r="I324" i="1"/>
  <c r="J324" i="1"/>
  <c r="K324" i="1"/>
  <c r="L324" i="1"/>
  <c r="M324" i="1"/>
  <c r="N324" i="1"/>
  <c r="D340" i="1"/>
  <c r="F340" i="1"/>
  <c r="G340" i="1"/>
  <c r="H340" i="1"/>
  <c r="I340" i="1"/>
  <c r="J340" i="1"/>
  <c r="K340" i="1"/>
  <c r="L340" i="1"/>
  <c r="M340" i="1"/>
  <c r="N340" i="1"/>
  <c r="D119" i="1"/>
  <c r="F119" i="1"/>
  <c r="G119" i="1"/>
  <c r="H119" i="1"/>
  <c r="I119" i="1"/>
  <c r="J119" i="1"/>
  <c r="K119" i="1"/>
  <c r="L119" i="1"/>
  <c r="M119" i="1"/>
  <c r="N119" i="1"/>
  <c r="D378" i="1"/>
  <c r="F378" i="1"/>
  <c r="G378" i="1"/>
  <c r="H378" i="1"/>
  <c r="I378" i="1"/>
  <c r="J378" i="1"/>
  <c r="K378" i="1"/>
  <c r="L378" i="1"/>
  <c r="M378" i="1"/>
  <c r="N378" i="1"/>
  <c r="D424" i="1"/>
  <c r="F424" i="1"/>
  <c r="G424" i="1"/>
  <c r="H424" i="1"/>
  <c r="I424" i="1"/>
  <c r="J424" i="1"/>
  <c r="K424" i="1"/>
  <c r="L424" i="1"/>
  <c r="M424" i="1"/>
  <c r="N424" i="1"/>
  <c r="D425" i="1"/>
  <c r="F425" i="1"/>
  <c r="G425" i="1"/>
  <c r="H425" i="1"/>
  <c r="I425" i="1"/>
  <c r="J425" i="1"/>
  <c r="K425" i="1"/>
  <c r="L425" i="1"/>
  <c r="M425" i="1"/>
  <c r="N425" i="1"/>
  <c r="D275" i="1"/>
  <c r="F275" i="1"/>
  <c r="G275" i="1"/>
  <c r="H275" i="1"/>
  <c r="I275" i="1"/>
  <c r="J275" i="1"/>
  <c r="K275" i="1"/>
  <c r="L275" i="1"/>
  <c r="M275" i="1"/>
  <c r="N275" i="1"/>
  <c r="D243" i="1"/>
  <c r="F243" i="1"/>
  <c r="G243" i="1"/>
  <c r="H243" i="1"/>
  <c r="I243" i="1"/>
  <c r="J243" i="1"/>
  <c r="K243" i="1"/>
  <c r="L243" i="1"/>
  <c r="M243" i="1"/>
  <c r="N243" i="1"/>
  <c r="D113" i="1"/>
  <c r="F113" i="1"/>
  <c r="G113" i="1"/>
  <c r="H113" i="1"/>
  <c r="I113" i="1"/>
  <c r="J113" i="1"/>
  <c r="K113" i="1"/>
  <c r="L113" i="1"/>
  <c r="M113" i="1"/>
  <c r="N113" i="1"/>
  <c r="D89" i="1"/>
  <c r="F89" i="1"/>
  <c r="G89" i="1"/>
  <c r="H89" i="1"/>
  <c r="I89" i="1"/>
  <c r="J89" i="1"/>
  <c r="K89" i="1"/>
  <c r="L89" i="1"/>
  <c r="M89" i="1"/>
  <c r="N89" i="1"/>
  <c r="D61" i="1"/>
  <c r="F61" i="1"/>
  <c r="G61" i="1"/>
  <c r="H61" i="1"/>
  <c r="I61" i="1"/>
  <c r="J61" i="1"/>
  <c r="K61" i="1"/>
  <c r="L61" i="1"/>
  <c r="M61" i="1"/>
  <c r="N61" i="1"/>
  <c r="D139" i="1"/>
  <c r="F139" i="1"/>
  <c r="G139" i="1"/>
  <c r="H139" i="1"/>
  <c r="I139" i="1"/>
  <c r="J139" i="1"/>
  <c r="K139" i="1"/>
  <c r="L139" i="1"/>
  <c r="M139" i="1"/>
  <c r="N139" i="1"/>
  <c r="D125" i="1"/>
  <c r="F125" i="1"/>
  <c r="G125" i="1"/>
  <c r="H125" i="1"/>
  <c r="I125" i="1"/>
  <c r="J125" i="1"/>
  <c r="K125" i="1"/>
  <c r="L125" i="1"/>
  <c r="M125" i="1"/>
  <c r="N125" i="1"/>
  <c r="D373" i="1"/>
  <c r="F373" i="1"/>
  <c r="G373" i="1"/>
  <c r="H373" i="1"/>
  <c r="I373" i="1"/>
  <c r="J373" i="1"/>
  <c r="K373" i="1"/>
  <c r="L373" i="1"/>
  <c r="M373" i="1"/>
  <c r="N373" i="1"/>
  <c r="D222" i="1"/>
  <c r="F222" i="1"/>
  <c r="G222" i="1"/>
  <c r="H222" i="1"/>
  <c r="I222" i="1"/>
  <c r="J222" i="1"/>
  <c r="K222" i="1"/>
  <c r="L222" i="1"/>
  <c r="M222" i="1"/>
  <c r="N222" i="1"/>
  <c r="D126" i="1"/>
  <c r="F126" i="1"/>
  <c r="G126" i="1"/>
  <c r="H126" i="1"/>
  <c r="I126" i="1"/>
  <c r="J126" i="1"/>
  <c r="K126" i="1"/>
  <c r="L126" i="1"/>
  <c r="M126" i="1"/>
  <c r="N126" i="1"/>
  <c r="D342" i="1"/>
  <c r="F342" i="1"/>
  <c r="G342" i="1"/>
  <c r="H342" i="1"/>
  <c r="I342" i="1"/>
  <c r="J342" i="1"/>
  <c r="K342" i="1"/>
  <c r="L342" i="1"/>
  <c r="M342" i="1"/>
  <c r="N342" i="1"/>
  <c r="D122" i="1"/>
  <c r="F122" i="1"/>
  <c r="G122" i="1"/>
  <c r="H122" i="1"/>
  <c r="I122" i="1"/>
  <c r="J122" i="1"/>
  <c r="K122" i="1"/>
  <c r="L122" i="1"/>
  <c r="M122" i="1"/>
  <c r="N122" i="1"/>
  <c r="D135" i="1"/>
  <c r="F135" i="1"/>
  <c r="G135" i="1"/>
  <c r="H135" i="1"/>
  <c r="I135" i="1"/>
  <c r="J135" i="1"/>
  <c r="K135" i="1"/>
  <c r="L135" i="1"/>
  <c r="M135" i="1"/>
  <c r="N135" i="1"/>
  <c r="D131" i="1"/>
  <c r="F131" i="1"/>
  <c r="G131" i="1"/>
  <c r="H131" i="1"/>
  <c r="I131" i="1"/>
  <c r="J131" i="1"/>
  <c r="K131" i="1"/>
  <c r="L131" i="1"/>
  <c r="M131" i="1"/>
  <c r="N131" i="1"/>
  <c r="D132" i="1"/>
  <c r="F132" i="1"/>
  <c r="G132" i="1"/>
  <c r="H132" i="1"/>
  <c r="I132" i="1"/>
  <c r="J132" i="1"/>
  <c r="K132" i="1"/>
  <c r="L132" i="1"/>
  <c r="M132" i="1"/>
  <c r="N132" i="1"/>
  <c r="D130" i="1"/>
  <c r="F130" i="1"/>
  <c r="G130" i="1"/>
  <c r="H130" i="1"/>
  <c r="I130" i="1"/>
  <c r="J130" i="1"/>
  <c r="K130" i="1"/>
  <c r="L130" i="1"/>
  <c r="M130" i="1"/>
  <c r="N130" i="1"/>
  <c r="D398" i="1"/>
  <c r="F398" i="1"/>
  <c r="G398" i="1"/>
  <c r="H398" i="1"/>
  <c r="I398" i="1"/>
  <c r="J398" i="1"/>
  <c r="K398" i="1"/>
  <c r="L398" i="1"/>
  <c r="M398" i="1"/>
  <c r="N398" i="1"/>
  <c r="D311" i="1"/>
  <c r="F311" i="1"/>
  <c r="G311" i="1"/>
  <c r="H311" i="1"/>
  <c r="I311" i="1"/>
  <c r="J311" i="1"/>
  <c r="K311" i="1"/>
  <c r="L311" i="1"/>
  <c r="M311" i="1"/>
  <c r="N311" i="1"/>
  <c r="D82" i="1"/>
  <c r="F82" i="1"/>
  <c r="G82" i="1"/>
  <c r="H82" i="1"/>
  <c r="I82" i="1"/>
  <c r="J82" i="1"/>
  <c r="K82" i="1"/>
  <c r="L82" i="1"/>
  <c r="M82" i="1"/>
  <c r="N82" i="1"/>
  <c r="D394" i="1"/>
  <c r="F394" i="1"/>
  <c r="G394" i="1"/>
  <c r="H394" i="1"/>
  <c r="I394" i="1"/>
  <c r="J394" i="1"/>
  <c r="K394" i="1"/>
  <c r="L394" i="1"/>
  <c r="M394" i="1"/>
  <c r="N394" i="1"/>
  <c r="D399" i="1"/>
  <c r="F399" i="1"/>
  <c r="G399" i="1"/>
  <c r="H399" i="1"/>
  <c r="I399" i="1"/>
  <c r="J399" i="1"/>
  <c r="K399" i="1"/>
  <c r="L399" i="1"/>
  <c r="M399" i="1"/>
  <c r="N399" i="1"/>
  <c r="D148" i="1"/>
  <c r="F148" i="1"/>
  <c r="G148" i="1"/>
  <c r="H148" i="1"/>
  <c r="I148" i="1"/>
  <c r="J148" i="1"/>
  <c r="K148" i="1"/>
  <c r="L148" i="1"/>
  <c r="M148" i="1"/>
  <c r="N148" i="1"/>
  <c r="D365" i="1"/>
  <c r="F365" i="1"/>
  <c r="G365" i="1"/>
  <c r="H365" i="1"/>
  <c r="I365" i="1"/>
  <c r="J365" i="1"/>
  <c r="K365" i="1"/>
  <c r="L365" i="1"/>
  <c r="M365" i="1"/>
  <c r="N365" i="1"/>
  <c r="D343" i="1"/>
  <c r="F343" i="1"/>
  <c r="G343" i="1"/>
  <c r="H343" i="1"/>
  <c r="I343" i="1"/>
  <c r="J343" i="1"/>
  <c r="K343" i="1"/>
  <c r="L343" i="1"/>
  <c r="M343" i="1"/>
  <c r="N343" i="1"/>
  <c r="D165" i="1"/>
  <c r="F165" i="1"/>
  <c r="G165" i="1"/>
  <c r="H165" i="1"/>
  <c r="I165" i="1"/>
  <c r="J165" i="1"/>
  <c r="K165" i="1"/>
  <c r="L165" i="1"/>
  <c r="M165" i="1"/>
  <c r="N165" i="1"/>
  <c r="D182" i="1"/>
  <c r="F182" i="1"/>
  <c r="G182" i="1"/>
  <c r="H182" i="1"/>
  <c r="I182" i="1"/>
  <c r="J182" i="1"/>
  <c r="K182" i="1"/>
  <c r="L182" i="1"/>
  <c r="M182" i="1"/>
  <c r="N182" i="1"/>
  <c r="D216" i="1"/>
  <c r="F216" i="1"/>
  <c r="G216" i="1"/>
  <c r="H216" i="1"/>
  <c r="I216" i="1"/>
  <c r="J216" i="1"/>
  <c r="K216" i="1"/>
  <c r="L216" i="1"/>
  <c r="M216" i="1"/>
  <c r="N216" i="1"/>
  <c r="D174" i="1"/>
  <c r="F174" i="1"/>
  <c r="G174" i="1"/>
  <c r="H174" i="1"/>
  <c r="I174" i="1"/>
  <c r="J174" i="1"/>
  <c r="K174" i="1"/>
  <c r="L174" i="1"/>
  <c r="M174" i="1"/>
  <c r="N174" i="1"/>
  <c r="D421" i="1"/>
  <c r="F421" i="1"/>
  <c r="G421" i="1"/>
  <c r="H421" i="1"/>
  <c r="I421" i="1"/>
  <c r="J421" i="1"/>
  <c r="K421" i="1"/>
  <c r="L421" i="1"/>
  <c r="M421" i="1"/>
  <c r="N421" i="1"/>
  <c r="D94" i="1"/>
  <c r="F94" i="1"/>
  <c r="G94" i="1"/>
  <c r="H94" i="1"/>
  <c r="I94" i="1"/>
  <c r="J94" i="1"/>
  <c r="K94" i="1"/>
  <c r="L94" i="1"/>
  <c r="M94" i="1"/>
  <c r="N94" i="1"/>
  <c r="D422" i="1"/>
  <c r="F422" i="1"/>
  <c r="G422" i="1"/>
  <c r="H422" i="1"/>
  <c r="I422" i="1"/>
  <c r="J422" i="1"/>
  <c r="K422" i="1"/>
  <c r="L422" i="1"/>
  <c r="M422" i="1"/>
  <c r="N422" i="1"/>
  <c r="D22" i="1"/>
  <c r="F22" i="1"/>
  <c r="G22" i="1"/>
  <c r="H22" i="1"/>
  <c r="I22" i="1"/>
  <c r="J22" i="1"/>
  <c r="K22" i="1"/>
  <c r="L22" i="1"/>
  <c r="M22" i="1"/>
  <c r="N22" i="1"/>
  <c r="D128" i="1"/>
  <c r="F128" i="1"/>
  <c r="G128" i="1"/>
  <c r="H128" i="1"/>
  <c r="I128" i="1"/>
  <c r="J128" i="1"/>
  <c r="K128" i="1"/>
  <c r="L128" i="1"/>
  <c r="M128" i="1"/>
  <c r="N128" i="1"/>
  <c r="D395" i="1"/>
  <c r="F395" i="1"/>
  <c r="G395" i="1"/>
  <c r="H395" i="1"/>
  <c r="I395" i="1"/>
  <c r="J395" i="1"/>
  <c r="K395" i="1"/>
  <c r="L395" i="1"/>
  <c r="M395" i="1"/>
  <c r="N395" i="1"/>
  <c r="D314" i="1"/>
  <c r="F314" i="1"/>
  <c r="G314" i="1"/>
  <c r="H314" i="1"/>
  <c r="I314" i="1"/>
  <c r="J314" i="1"/>
  <c r="K314" i="1"/>
  <c r="L314" i="1"/>
  <c r="M314" i="1"/>
  <c r="N314" i="1"/>
  <c r="D284" i="1"/>
  <c r="F284" i="1"/>
  <c r="G284" i="1"/>
  <c r="H284" i="1"/>
  <c r="I284" i="1"/>
  <c r="J284" i="1"/>
  <c r="K284" i="1"/>
  <c r="L284" i="1"/>
  <c r="M284" i="1"/>
  <c r="N284" i="1"/>
  <c r="D40" i="1"/>
  <c r="F40" i="1"/>
  <c r="G40" i="1"/>
  <c r="H40" i="1"/>
  <c r="I40" i="1"/>
  <c r="J40" i="1"/>
  <c r="K40" i="1"/>
  <c r="L40" i="1"/>
  <c r="M40" i="1"/>
  <c r="N40" i="1"/>
  <c r="D98" i="1"/>
  <c r="F98" i="1"/>
  <c r="G98" i="1"/>
  <c r="H98" i="1"/>
  <c r="I98" i="1"/>
  <c r="J98" i="1"/>
  <c r="K98" i="1"/>
  <c r="L98" i="1"/>
  <c r="M98" i="1"/>
  <c r="N98" i="1"/>
  <c r="D79" i="1"/>
  <c r="F79" i="1"/>
  <c r="G79" i="1"/>
  <c r="H79" i="1"/>
  <c r="I79" i="1"/>
  <c r="J79" i="1"/>
  <c r="K79" i="1"/>
  <c r="L79" i="1"/>
  <c r="M79" i="1"/>
  <c r="D348" i="1"/>
  <c r="F348" i="1"/>
  <c r="G348" i="1"/>
  <c r="H348" i="1"/>
  <c r="I348" i="1"/>
  <c r="J348" i="1"/>
  <c r="K348" i="1"/>
  <c r="L348" i="1"/>
  <c r="M348" i="1"/>
  <c r="N348" i="1"/>
  <c r="D46" i="1"/>
  <c r="F46" i="1"/>
  <c r="G46" i="1"/>
  <c r="H46" i="1"/>
  <c r="I46" i="1"/>
  <c r="J46" i="1"/>
  <c r="K46" i="1"/>
  <c r="L46" i="1"/>
  <c r="M46" i="1"/>
  <c r="N46" i="1"/>
  <c r="D354" i="1"/>
  <c r="F354" i="1"/>
  <c r="G354" i="1"/>
  <c r="H354" i="1"/>
  <c r="I354" i="1"/>
  <c r="J354" i="1"/>
  <c r="K354" i="1"/>
  <c r="L354" i="1"/>
  <c r="M354" i="1"/>
  <c r="N354" i="1"/>
  <c r="D95" i="1"/>
  <c r="F95" i="1"/>
  <c r="G95" i="1"/>
  <c r="H95" i="1"/>
  <c r="I95" i="1"/>
  <c r="J95" i="1"/>
  <c r="K95" i="1"/>
  <c r="L95" i="1"/>
  <c r="M95" i="1"/>
  <c r="N95" i="1"/>
  <c r="D334" i="1"/>
  <c r="F334" i="1"/>
  <c r="G334" i="1"/>
  <c r="H334" i="1"/>
  <c r="I334" i="1"/>
  <c r="J334" i="1"/>
  <c r="K334" i="1"/>
  <c r="L334" i="1"/>
  <c r="M334" i="1"/>
  <c r="N334" i="1"/>
  <c r="D115" i="1"/>
  <c r="F115" i="1"/>
  <c r="G115" i="1"/>
  <c r="H115" i="1"/>
  <c r="I115" i="1"/>
  <c r="J115" i="1"/>
  <c r="K115" i="1"/>
  <c r="L115" i="1"/>
  <c r="M115" i="1"/>
  <c r="N115" i="1"/>
  <c r="D36" i="1"/>
  <c r="F36" i="1"/>
  <c r="G36" i="1"/>
  <c r="H36" i="1"/>
  <c r="I36" i="1"/>
  <c r="J36" i="1"/>
  <c r="K36" i="1"/>
  <c r="L36" i="1"/>
  <c r="M36" i="1"/>
  <c r="N36" i="1"/>
  <c r="D379" i="1"/>
  <c r="F379" i="1"/>
  <c r="G379" i="1"/>
  <c r="H379" i="1"/>
  <c r="I379" i="1"/>
  <c r="J379" i="1"/>
  <c r="K379" i="1"/>
  <c r="L379" i="1"/>
  <c r="M379" i="1"/>
  <c r="N379" i="1"/>
  <c r="D10" i="1"/>
  <c r="F10" i="1"/>
  <c r="G10" i="1"/>
  <c r="H10" i="1"/>
  <c r="I10" i="1"/>
  <c r="J10" i="1"/>
  <c r="K10" i="1"/>
  <c r="L10" i="1"/>
  <c r="M10" i="1"/>
  <c r="N10" i="1"/>
  <c r="D31" i="1"/>
  <c r="F31" i="1"/>
  <c r="G31" i="1"/>
  <c r="H31" i="1"/>
  <c r="I31" i="1"/>
  <c r="J31" i="1"/>
  <c r="K31" i="1"/>
  <c r="L31" i="1"/>
  <c r="M31" i="1"/>
  <c r="N31" i="1"/>
  <c r="D291" i="1"/>
  <c r="F291" i="1"/>
  <c r="G291" i="1"/>
  <c r="H291" i="1"/>
  <c r="I291" i="1"/>
  <c r="J291" i="1"/>
  <c r="K291" i="1"/>
  <c r="L291" i="1"/>
  <c r="M291" i="1"/>
  <c r="N291" i="1"/>
  <c r="D83" i="1"/>
  <c r="F83" i="1"/>
  <c r="G83" i="1"/>
  <c r="H83" i="1"/>
  <c r="I83" i="1"/>
  <c r="J83" i="1"/>
  <c r="K83" i="1"/>
  <c r="L83" i="1"/>
  <c r="M83" i="1"/>
  <c r="N83" i="1"/>
  <c r="D133" i="1"/>
  <c r="F133" i="1"/>
  <c r="G133" i="1"/>
  <c r="H133" i="1"/>
  <c r="I133" i="1"/>
  <c r="J133" i="1"/>
  <c r="K133" i="1"/>
  <c r="L133" i="1"/>
  <c r="M133" i="1"/>
  <c r="N133" i="1"/>
  <c r="D140" i="1"/>
  <c r="F140" i="1"/>
  <c r="G140" i="1"/>
  <c r="H140" i="1"/>
  <c r="I140" i="1"/>
  <c r="J140" i="1"/>
  <c r="K140" i="1"/>
  <c r="L140" i="1"/>
  <c r="M140" i="1"/>
  <c r="N140" i="1"/>
  <c r="D143" i="1"/>
  <c r="F143" i="1"/>
  <c r="G143" i="1"/>
  <c r="H143" i="1"/>
  <c r="I143" i="1"/>
  <c r="J143" i="1"/>
  <c r="K143" i="1"/>
  <c r="L143" i="1"/>
  <c r="M143" i="1"/>
  <c r="N143" i="1"/>
  <c r="D144" i="1"/>
  <c r="F144" i="1"/>
  <c r="G144" i="1"/>
  <c r="H144" i="1"/>
  <c r="I144" i="1"/>
  <c r="J144" i="1"/>
  <c r="K144" i="1"/>
  <c r="L144" i="1"/>
  <c r="M144" i="1"/>
  <c r="N144" i="1"/>
  <c r="D155" i="1"/>
  <c r="F155" i="1"/>
  <c r="G155" i="1"/>
  <c r="H155" i="1"/>
  <c r="I155" i="1"/>
  <c r="J155" i="1"/>
  <c r="K155" i="1"/>
  <c r="L155" i="1"/>
  <c r="M155" i="1"/>
  <c r="N155" i="1"/>
  <c r="D159" i="1"/>
  <c r="F159" i="1"/>
  <c r="G159" i="1"/>
  <c r="H159" i="1"/>
  <c r="I159" i="1"/>
  <c r="J159" i="1"/>
  <c r="K159" i="1"/>
  <c r="L159" i="1"/>
  <c r="M159" i="1"/>
  <c r="N159" i="1"/>
  <c r="D23" i="1"/>
  <c r="F23" i="1"/>
  <c r="G23" i="1"/>
  <c r="H23" i="1"/>
  <c r="I23" i="1"/>
  <c r="J23" i="1"/>
  <c r="K23" i="1"/>
  <c r="L23" i="1"/>
  <c r="M23" i="1"/>
  <c r="N23" i="1"/>
  <c r="D77" i="1"/>
  <c r="F77" i="1"/>
  <c r="G77" i="1"/>
  <c r="H77" i="1"/>
  <c r="I77" i="1"/>
  <c r="J77" i="1"/>
  <c r="K77" i="1"/>
  <c r="L77" i="1"/>
  <c r="M77" i="1"/>
  <c r="N77" i="1"/>
  <c r="D386" i="1"/>
  <c r="F386" i="1"/>
  <c r="G386" i="1"/>
  <c r="H386" i="1"/>
  <c r="I386" i="1"/>
  <c r="J386" i="1"/>
  <c r="K386" i="1"/>
  <c r="L386" i="1"/>
  <c r="M386" i="1"/>
  <c r="N386" i="1"/>
  <c r="D207" i="1"/>
  <c r="F207" i="1"/>
  <c r="G207" i="1"/>
  <c r="H207" i="1"/>
  <c r="I207" i="1"/>
  <c r="J207" i="1"/>
  <c r="K207" i="1"/>
  <c r="L207" i="1"/>
  <c r="M207" i="1"/>
  <c r="N207" i="1"/>
  <c r="D213" i="1"/>
  <c r="F213" i="1"/>
  <c r="G213" i="1"/>
  <c r="H213" i="1"/>
  <c r="I213" i="1"/>
  <c r="J213" i="1"/>
  <c r="K213" i="1"/>
  <c r="L213" i="1"/>
  <c r="M213" i="1"/>
  <c r="N213" i="1"/>
  <c r="D149" i="1"/>
  <c r="F149" i="1"/>
  <c r="G149" i="1"/>
  <c r="H149" i="1"/>
  <c r="I149" i="1"/>
  <c r="J149" i="1"/>
  <c r="K149" i="1"/>
  <c r="L149" i="1"/>
  <c r="M149" i="1"/>
  <c r="N149" i="1"/>
  <c r="D240" i="1"/>
  <c r="F240" i="1"/>
  <c r="G240" i="1"/>
  <c r="H240" i="1"/>
  <c r="I240" i="1"/>
  <c r="J240" i="1"/>
  <c r="K240" i="1"/>
  <c r="L240" i="1"/>
  <c r="M240" i="1"/>
  <c r="N240" i="1"/>
  <c r="D48" i="1"/>
  <c r="F48" i="1"/>
  <c r="G48" i="1"/>
  <c r="H48" i="1"/>
  <c r="I48" i="1"/>
  <c r="J48" i="1"/>
  <c r="K48" i="1"/>
  <c r="L48" i="1"/>
  <c r="M48" i="1"/>
  <c r="N48" i="1"/>
  <c r="D352" i="1"/>
  <c r="F352" i="1"/>
  <c r="G352" i="1"/>
  <c r="H352" i="1"/>
  <c r="I352" i="1"/>
  <c r="J352" i="1"/>
  <c r="K352" i="1"/>
  <c r="L352" i="1"/>
  <c r="M352" i="1"/>
  <c r="N352" i="1"/>
  <c r="D62" i="1"/>
  <c r="F62" i="1"/>
  <c r="G62" i="1"/>
  <c r="H62" i="1"/>
  <c r="I62" i="1"/>
  <c r="J62" i="1"/>
  <c r="K62" i="1"/>
  <c r="L62" i="1"/>
  <c r="M62" i="1"/>
  <c r="N62" i="1"/>
  <c r="D114" i="1"/>
  <c r="F114" i="1"/>
  <c r="G114" i="1"/>
  <c r="H114" i="1"/>
  <c r="I114" i="1"/>
  <c r="J114" i="1"/>
  <c r="K114" i="1"/>
  <c r="L114" i="1"/>
  <c r="M114" i="1"/>
  <c r="N114" i="1"/>
  <c r="D355" i="1"/>
  <c r="F355" i="1"/>
  <c r="G355" i="1"/>
  <c r="H355" i="1"/>
  <c r="I355" i="1"/>
  <c r="J355" i="1"/>
  <c r="K355" i="1"/>
  <c r="L355" i="1"/>
  <c r="M355" i="1"/>
  <c r="N355" i="1"/>
  <c r="D43" i="1"/>
  <c r="F43" i="1"/>
  <c r="G43" i="1"/>
  <c r="H43" i="1"/>
  <c r="I43" i="1"/>
  <c r="J43" i="1"/>
  <c r="K43" i="1"/>
  <c r="L43" i="1"/>
  <c r="M43" i="1"/>
  <c r="N43" i="1"/>
  <c r="D70" i="1"/>
  <c r="F70" i="1"/>
  <c r="G70" i="1"/>
  <c r="H70" i="1"/>
  <c r="I70" i="1"/>
  <c r="J70" i="1"/>
  <c r="K70" i="1"/>
  <c r="L70" i="1"/>
  <c r="M70" i="1"/>
  <c r="N70" i="1"/>
  <c r="D208" i="1"/>
  <c r="F208" i="1"/>
  <c r="G208" i="1"/>
  <c r="H208" i="1"/>
  <c r="I208" i="1"/>
  <c r="J208" i="1"/>
  <c r="K208" i="1"/>
  <c r="L208" i="1"/>
  <c r="M208" i="1"/>
  <c r="N208" i="1"/>
  <c r="D415" i="1"/>
  <c r="F415" i="1"/>
  <c r="G415" i="1"/>
  <c r="H415" i="1"/>
  <c r="I415" i="1"/>
  <c r="J415" i="1"/>
  <c r="K415" i="1"/>
  <c r="L415" i="1"/>
  <c r="M415" i="1"/>
  <c r="N415" i="1"/>
  <c r="D325" i="1"/>
  <c r="F325" i="1"/>
  <c r="G325" i="1"/>
  <c r="H325" i="1"/>
  <c r="I325" i="1"/>
  <c r="J325" i="1"/>
  <c r="K325" i="1"/>
  <c r="L325" i="1"/>
  <c r="M325" i="1"/>
  <c r="N325" i="1"/>
  <c r="D76" i="1"/>
  <c r="F76" i="1"/>
  <c r="G76" i="1"/>
  <c r="H76" i="1"/>
  <c r="I76" i="1"/>
  <c r="J76" i="1"/>
  <c r="K76" i="1"/>
  <c r="L76" i="1"/>
  <c r="M76" i="1"/>
  <c r="N76" i="1"/>
  <c r="D189" i="1"/>
  <c r="F189" i="1"/>
  <c r="G189" i="1"/>
  <c r="H189" i="1"/>
  <c r="I189" i="1"/>
  <c r="J189" i="1"/>
  <c r="K189" i="1"/>
  <c r="L189" i="1"/>
  <c r="M189" i="1"/>
  <c r="N189" i="1"/>
  <c r="D204" i="1"/>
  <c r="F204" i="1"/>
  <c r="G204" i="1"/>
  <c r="H204" i="1"/>
  <c r="I204" i="1"/>
  <c r="J204" i="1"/>
  <c r="K204" i="1"/>
  <c r="L204" i="1"/>
  <c r="M204" i="1"/>
  <c r="N204" i="1"/>
  <c r="D304" i="1"/>
  <c r="F304" i="1"/>
  <c r="G304" i="1"/>
  <c r="H304" i="1"/>
  <c r="I304" i="1"/>
  <c r="J304" i="1"/>
  <c r="K304" i="1"/>
  <c r="L304" i="1"/>
  <c r="M304" i="1"/>
  <c r="N304" i="1"/>
  <c r="D298" i="1"/>
  <c r="F298" i="1"/>
  <c r="G298" i="1"/>
  <c r="H298" i="1"/>
  <c r="I298" i="1"/>
  <c r="J298" i="1"/>
  <c r="K298" i="1"/>
  <c r="L298" i="1"/>
  <c r="M298" i="1"/>
  <c r="N298" i="1"/>
  <c r="D307" i="1"/>
  <c r="F307" i="1"/>
  <c r="G307" i="1"/>
  <c r="H307" i="1"/>
  <c r="I307" i="1"/>
  <c r="J307" i="1"/>
  <c r="K307" i="1"/>
  <c r="L307" i="1"/>
  <c r="M307" i="1"/>
  <c r="N307" i="1"/>
  <c r="D308" i="1"/>
  <c r="F308" i="1"/>
  <c r="G308" i="1"/>
  <c r="H308" i="1"/>
  <c r="I308" i="1"/>
  <c r="J308" i="1"/>
  <c r="K308" i="1"/>
  <c r="L308" i="1"/>
  <c r="M308" i="1"/>
  <c r="N308" i="1"/>
  <c r="D333" i="1"/>
  <c r="F333" i="1"/>
  <c r="G333" i="1"/>
  <c r="H333" i="1"/>
  <c r="I333" i="1"/>
  <c r="J333" i="1"/>
  <c r="K333" i="1"/>
  <c r="L333" i="1"/>
  <c r="M333" i="1"/>
  <c r="N333" i="1"/>
  <c r="D381" i="1"/>
  <c r="F381" i="1"/>
  <c r="G381" i="1"/>
  <c r="H381" i="1"/>
  <c r="I381" i="1"/>
  <c r="J381" i="1"/>
  <c r="K381" i="1"/>
  <c r="L381" i="1"/>
  <c r="M381" i="1"/>
  <c r="N381" i="1"/>
  <c r="D382" i="1"/>
  <c r="F382" i="1"/>
  <c r="G382" i="1"/>
  <c r="H382" i="1"/>
  <c r="I382" i="1"/>
  <c r="J382" i="1"/>
  <c r="K382" i="1"/>
  <c r="L382" i="1"/>
  <c r="M382" i="1"/>
  <c r="N382" i="1"/>
  <c r="D372" i="1"/>
  <c r="F372" i="1"/>
  <c r="G372" i="1"/>
  <c r="H372" i="1"/>
  <c r="I372" i="1"/>
  <c r="J372" i="1"/>
  <c r="K372" i="1"/>
  <c r="L372" i="1"/>
  <c r="M372" i="1"/>
  <c r="N372" i="1"/>
  <c r="D80" i="1"/>
  <c r="F80" i="1"/>
  <c r="G80" i="1"/>
  <c r="H80" i="1"/>
  <c r="I80" i="1"/>
  <c r="J80" i="1"/>
  <c r="K80" i="1"/>
  <c r="L80" i="1"/>
  <c r="M80" i="1"/>
  <c r="N80" i="1"/>
  <c r="D244" i="1"/>
  <c r="F244" i="1"/>
  <c r="G244" i="1"/>
  <c r="H244" i="1"/>
  <c r="I244" i="1"/>
  <c r="J244" i="1"/>
  <c r="K244" i="1"/>
  <c r="L244" i="1"/>
  <c r="M244" i="1"/>
  <c r="N244" i="1"/>
  <c r="D19" i="1"/>
  <c r="F19" i="1"/>
  <c r="G19" i="1"/>
  <c r="H19" i="1"/>
  <c r="I19" i="1"/>
  <c r="J19" i="1"/>
  <c r="K19" i="1"/>
  <c r="L19" i="1"/>
  <c r="M19" i="1"/>
  <c r="N19" i="1"/>
  <c r="D337" i="1"/>
  <c r="F337" i="1"/>
  <c r="G337" i="1"/>
  <c r="H337" i="1"/>
  <c r="I337" i="1"/>
  <c r="J337" i="1"/>
  <c r="K337" i="1"/>
  <c r="L337" i="1"/>
  <c r="M337" i="1"/>
  <c r="N337" i="1"/>
  <c r="D110" i="1"/>
  <c r="F110" i="1"/>
  <c r="G110" i="1"/>
  <c r="H110" i="1"/>
  <c r="I110" i="1"/>
  <c r="J110" i="1"/>
  <c r="K110" i="1"/>
  <c r="L110" i="1"/>
  <c r="M110" i="1"/>
  <c r="N110" i="1"/>
  <c r="D403" i="1"/>
  <c r="F403" i="1"/>
  <c r="G403" i="1"/>
  <c r="H403" i="1"/>
  <c r="I403" i="1"/>
  <c r="J403" i="1"/>
  <c r="K403" i="1"/>
  <c r="L403" i="1"/>
  <c r="M403" i="1"/>
  <c r="N403" i="1"/>
  <c r="D388" i="1"/>
  <c r="F388" i="1"/>
  <c r="G388" i="1"/>
  <c r="H388" i="1"/>
  <c r="I388" i="1"/>
  <c r="J388" i="1"/>
  <c r="K388" i="1"/>
  <c r="L388" i="1"/>
  <c r="M388" i="1"/>
  <c r="N388" i="1"/>
  <c r="D59" i="1"/>
  <c r="F59" i="1"/>
  <c r="G59" i="1"/>
  <c r="H59" i="1"/>
  <c r="I59" i="1"/>
  <c r="J59" i="1"/>
  <c r="K59" i="1"/>
  <c r="L59" i="1"/>
  <c r="M59" i="1"/>
  <c r="N59" i="1"/>
  <c r="D99" i="1"/>
  <c r="F99" i="1"/>
  <c r="G99" i="1"/>
  <c r="H99" i="1"/>
  <c r="I99" i="1"/>
  <c r="J99" i="1"/>
  <c r="K99" i="1"/>
  <c r="L99" i="1"/>
  <c r="M99" i="1"/>
  <c r="N99" i="1"/>
  <c r="D150" i="1"/>
  <c r="F150" i="1"/>
  <c r="G150" i="1"/>
  <c r="H150" i="1"/>
  <c r="I150" i="1"/>
  <c r="J150" i="1"/>
  <c r="K150" i="1"/>
  <c r="L150" i="1"/>
  <c r="M150" i="1"/>
  <c r="N150" i="1"/>
  <c r="D5" i="1"/>
  <c r="F5" i="1"/>
  <c r="G5" i="1"/>
  <c r="H5" i="1"/>
  <c r="I5" i="1"/>
  <c r="J5" i="1"/>
  <c r="K5" i="1"/>
  <c r="L5" i="1"/>
  <c r="M5" i="1"/>
  <c r="N5" i="1"/>
  <c r="D105" i="1"/>
  <c r="F105" i="1"/>
  <c r="G105" i="1"/>
  <c r="H105" i="1"/>
  <c r="I105" i="1"/>
  <c r="J105" i="1"/>
  <c r="K105" i="1"/>
  <c r="L105" i="1"/>
  <c r="M105" i="1"/>
  <c r="N105" i="1"/>
  <c r="D146" i="1"/>
  <c r="F146" i="1"/>
  <c r="G146" i="1"/>
  <c r="H146" i="1"/>
  <c r="I146" i="1"/>
  <c r="J146" i="1"/>
  <c r="K146" i="1"/>
  <c r="L146" i="1"/>
  <c r="M146" i="1"/>
  <c r="N146" i="1"/>
  <c r="D121" i="1"/>
  <c r="F121" i="1"/>
  <c r="G121" i="1"/>
  <c r="H121" i="1"/>
  <c r="I121" i="1"/>
  <c r="J121" i="1"/>
  <c r="K121" i="1"/>
  <c r="L121" i="1"/>
  <c r="M121" i="1"/>
  <c r="N121" i="1"/>
  <c r="D137" i="1"/>
  <c r="F137" i="1"/>
  <c r="G137" i="1"/>
  <c r="H137" i="1"/>
  <c r="I137" i="1"/>
  <c r="J137" i="1"/>
  <c r="K137" i="1"/>
  <c r="L137" i="1"/>
  <c r="M137" i="1"/>
  <c r="N137" i="1"/>
  <c r="D258" i="1"/>
  <c r="F258" i="1"/>
  <c r="G258" i="1"/>
  <c r="H258" i="1"/>
  <c r="I258" i="1"/>
  <c r="J258" i="1"/>
  <c r="K258" i="1"/>
  <c r="L258" i="1"/>
  <c r="M258" i="1"/>
  <c r="N258" i="1"/>
  <c r="D270" i="1"/>
  <c r="F270" i="1"/>
  <c r="G270" i="1"/>
  <c r="H270" i="1"/>
  <c r="I270" i="1"/>
  <c r="J270" i="1"/>
  <c r="K270" i="1"/>
  <c r="L270" i="1"/>
  <c r="M270" i="1"/>
  <c r="N270" i="1"/>
  <c r="D93" i="1"/>
  <c r="F93" i="1"/>
  <c r="G93" i="1"/>
  <c r="H93" i="1"/>
  <c r="I93" i="1"/>
  <c r="J93" i="1"/>
  <c r="K93" i="1"/>
  <c r="L93" i="1"/>
  <c r="M93" i="1"/>
  <c r="N93" i="1"/>
  <c r="D185" i="1"/>
  <c r="F185" i="1"/>
  <c r="G185" i="1"/>
  <c r="H185" i="1"/>
  <c r="I185" i="1"/>
  <c r="J185" i="1"/>
  <c r="K185" i="1"/>
  <c r="L185" i="1"/>
  <c r="M185" i="1"/>
  <c r="N185" i="1"/>
  <c r="D187" i="1"/>
  <c r="F187" i="1"/>
  <c r="G187" i="1"/>
  <c r="H187" i="1"/>
  <c r="I187" i="1"/>
  <c r="J187" i="1"/>
  <c r="K187" i="1"/>
  <c r="L187" i="1"/>
  <c r="M187" i="1"/>
  <c r="N187" i="1"/>
  <c r="D39" i="1"/>
  <c r="F39" i="1"/>
  <c r="G39" i="1"/>
  <c r="H39" i="1"/>
  <c r="I39" i="1"/>
  <c r="J39" i="1"/>
  <c r="K39" i="1"/>
  <c r="L39" i="1"/>
  <c r="M39" i="1"/>
  <c r="N39" i="1"/>
  <c r="D221" i="1"/>
  <c r="F221" i="1"/>
  <c r="G221" i="1"/>
  <c r="H221" i="1"/>
  <c r="I221" i="1"/>
  <c r="J221" i="1"/>
  <c r="K221" i="1"/>
  <c r="L221" i="1"/>
  <c r="M221" i="1"/>
  <c r="N221" i="1"/>
  <c r="D202" i="1"/>
  <c r="F202" i="1"/>
  <c r="G202" i="1"/>
  <c r="H202" i="1"/>
  <c r="I202" i="1"/>
  <c r="J202" i="1"/>
  <c r="K202" i="1"/>
  <c r="L202" i="1"/>
  <c r="M202" i="1"/>
  <c r="N202" i="1"/>
  <c r="D371" i="1"/>
  <c r="F371" i="1"/>
  <c r="G371" i="1"/>
  <c r="H371" i="1"/>
  <c r="I371" i="1"/>
  <c r="J371" i="1"/>
  <c r="K371" i="1"/>
  <c r="L371" i="1"/>
  <c r="M371" i="1"/>
  <c r="N371" i="1"/>
  <c r="D375" i="1"/>
  <c r="F375" i="1"/>
  <c r="G375" i="1"/>
  <c r="H375" i="1"/>
  <c r="I375" i="1"/>
  <c r="J375" i="1"/>
  <c r="K375" i="1"/>
  <c r="L375" i="1"/>
  <c r="M375" i="1"/>
  <c r="N375" i="1"/>
  <c r="D414" i="1"/>
  <c r="F414" i="1"/>
  <c r="G414" i="1"/>
  <c r="H414" i="1"/>
  <c r="I414" i="1"/>
  <c r="J414" i="1"/>
  <c r="K414" i="1"/>
  <c r="L414" i="1"/>
  <c r="M414" i="1"/>
  <c r="N414" i="1"/>
  <c r="D44" i="1"/>
  <c r="F44" i="1"/>
  <c r="G44" i="1"/>
  <c r="H44" i="1"/>
  <c r="I44" i="1"/>
  <c r="J44" i="1"/>
  <c r="K44" i="1"/>
  <c r="L44" i="1"/>
  <c r="M44" i="1"/>
  <c r="N44" i="1"/>
  <c r="D85" i="1"/>
  <c r="F85" i="1"/>
  <c r="G85" i="1"/>
  <c r="H85" i="1"/>
  <c r="I85" i="1"/>
  <c r="J85" i="1"/>
  <c r="K85" i="1"/>
  <c r="L85" i="1"/>
  <c r="M85" i="1"/>
  <c r="N85" i="1"/>
  <c r="D411" i="1"/>
  <c r="F411" i="1"/>
  <c r="G411" i="1"/>
  <c r="H411" i="1"/>
  <c r="I411" i="1"/>
  <c r="J411" i="1"/>
  <c r="K411" i="1"/>
  <c r="L411" i="1"/>
  <c r="M411" i="1"/>
  <c r="N411" i="1"/>
  <c r="D96" i="1"/>
  <c r="F96" i="1"/>
  <c r="G96" i="1"/>
  <c r="H96" i="1"/>
  <c r="I96" i="1"/>
  <c r="J96" i="1"/>
  <c r="K96" i="1"/>
  <c r="L96" i="1"/>
  <c r="M96" i="1"/>
  <c r="N96" i="1"/>
  <c r="D392" i="1"/>
  <c r="F392" i="1"/>
  <c r="G392" i="1"/>
  <c r="H392" i="1"/>
  <c r="I392" i="1"/>
  <c r="J392" i="1"/>
  <c r="K392" i="1"/>
  <c r="L392" i="1"/>
  <c r="M392" i="1"/>
  <c r="N392" i="1"/>
  <c r="D171" i="1"/>
  <c r="F171" i="1"/>
  <c r="G171" i="1"/>
  <c r="H171" i="1"/>
  <c r="I171" i="1"/>
  <c r="J171" i="1"/>
  <c r="K171" i="1"/>
  <c r="L171" i="1"/>
  <c r="M171" i="1"/>
  <c r="N171" i="1"/>
  <c r="D35" i="1"/>
  <c r="F35" i="1"/>
  <c r="G35" i="1"/>
  <c r="H35" i="1"/>
  <c r="I35" i="1"/>
  <c r="J35" i="1"/>
  <c r="K35" i="1"/>
  <c r="L35" i="1"/>
  <c r="M35" i="1"/>
  <c r="N35" i="1"/>
  <c r="D37" i="1"/>
  <c r="F37" i="1"/>
  <c r="G37" i="1"/>
  <c r="H37" i="1"/>
  <c r="I37" i="1"/>
  <c r="J37" i="1"/>
  <c r="K37" i="1"/>
  <c r="L37" i="1"/>
  <c r="M37" i="1"/>
  <c r="N37" i="1"/>
  <c r="D75" i="1"/>
  <c r="F75" i="1"/>
  <c r="G75" i="1"/>
  <c r="H75" i="1"/>
  <c r="I75" i="1"/>
  <c r="J75" i="1"/>
  <c r="K75" i="1"/>
  <c r="L75" i="1"/>
  <c r="M75" i="1"/>
  <c r="N75" i="1"/>
  <c r="D323" i="1"/>
  <c r="F323" i="1"/>
  <c r="G323" i="1"/>
  <c r="H323" i="1"/>
  <c r="I323" i="1"/>
  <c r="J323" i="1"/>
  <c r="K323" i="1"/>
  <c r="L323" i="1"/>
  <c r="M323" i="1"/>
  <c r="N323" i="1"/>
  <c r="D30" i="1"/>
  <c r="F30" i="1"/>
  <c r="G30" i="1"/>
  <c r="H30" i="1"/>
  <c r="I30" i="1"/>
  <c r="J30" i="1"/>
  <c r="K30" i="1"/>
  <c r="L30" i="1"/>
  <c r="M30" i="1"/>
  <c r="N30" i="1"/>
  <c r="D163" i="1"/>
  <c r="F163" i="1"/>
  <c r="G163" i="1"/>
  <c r="H163" i="1"/>
  <c r="I163" i="1"/>
  <c r="J163" i="1"/>
  <c r="K163" i="1"/>
  <c r="L163" i="1"/>
  <c r="M163" i="1"/>
  <c r="N163" i="1"/>
  <c r="D192" i="1"/>
  <c r="F192" i="1"/>
  <c r="G192" i="1"/>
  <c r="H192" i="1"/>
  <c r="I192" i="1"/>
  <c r="J192" i="1"/>
  <c r="K192" i="1"/>
  <c r="L192" i="1"/>
  <c r="M192" i="1"/>
  <c r="N192" i="1"/>
  <c r="D199" i="1"/>
  <c r="F199" i="1"/>
  <c r="G199" i="1"/>
  <c r="H199" i="1"/>
  <c r="I199" i="1"/>
  <c r="J199" i="1"/>
  <c r="K199" i="1"/>
  <c r="L199" i="1"/>
  <c r="M199" i="1"/>
  <c r="N199" i="1"/>
  <c r="D316" i="1"/>
  <c r="F316" i="1"/>
  <c r="G316" i="1"/>
  <c r="H316" i="1"/>
  <c r="I316" i="1"/>
  <c r="J316" i="1"/>
  <c r="K316" i="1"/>
  <c r="L316" i="1"/>
  <c r="M316" i="1"/>
  <c r="N316" i="1"/>
  <c r="D366" i="1"/>
  <c r="F366" i="1"/>
  <c r="G366" i="1"/>
  <c r="H366" i="1"/>
  <c r="I366" i="1"/>
  <c r="J366" i="1"/>
  <c r="K366" i="1"/>
  <c r="L366" i="1"/>
  <c r="M366" i="1"/>
  <c r="N366" i="1"/>
  <c r="D380" i="1"/>
  <c r="F380" i="1"/>
  <c r="G380" i="1"/>
  <c r="H380" i="1"/>
  <c r="I380" i="1"/>
  <c r="J380" i="1"/>
  <c r="K380" i="1"/>
  <c r="L380" i="1"/>
  <c r="M380" i="1"/>
  <c r="N380" i="1"/>
  <c r="D376" i="1"/>
  <c r="F376" i="1"/>
  <c r="G376" i="1"/>
  <c r="H376" i="1"/>
  <c r="I376" i="1"/>
  <c r="J376" i="1"/>
  <c r="K376" i="1"/>
  <c r="L376" i="1"/>
  <c r="M376" i="1"/>
  <c r="N376" i="1"/>
  <c r="D242" i="1"/>
  <c r="F242" i="1"/>
  <c r="G242" i="1"/>
  <c r="H242" i="1"/>
  <c r="I242" i="1"/>
  <c r="J242" i="1"/>
  <c r="K242" i="1"/>
  <c r="L242" i="1"/>
  <c r="M242" i="1"/>
  <c r="N242" i="1"/>
  <c r="D231" i="1"/>
  <c r="F231" i="1"/>
  <c r="G231" i="1"/>
  <c r="H231" i="1"/>
  <c r="I231" i="1"/>
  <c r="J231" i="1"/>
  <c r="K231" i="1"/>
  <c r="L231" i="1"/>
  <c r="M231" i="1"/>
  <c r="N231" i="1"/>
  <c r="D170" i="1"/>
  <c r="F170" i="1"/>
  <c r="G170" i="1"/>
  <c r="H170" i="1"/>
  <c r="I170" i="1"/>
  <c r="J170" i="1"/>
  <c r="K170" i="1"/>
  <c r="L170" i="1"/>
  <c r="M170" i="1"/>
  <c r="N170" i="1"/>
  <c r="D390" i="1"/>
  <c r="F390" i="1"/>
  <c r="G390" i="1"/>
  <c r="H390" i="1"/>
  <c r="I390" i="1"/>
  <c r="J390" i="1"/>
  <c r="K390" i="1"/>
  <c r="L390" i="1"/>
  <c r="M390" i="1"/>
  <c r="N390" i="1"/>
  <c r="D405" i="1"/>
  <c r="F405" i="1"/>
  <c r="G405" i="1"/>
  <c r="H405" i="1"/>
  <c r="I405" i="1"/>
  <c r="J405" i="1"/>
  <c r="K405" i="1"/>
  <c r="L405" i="1"/>
  <c r="M405" i="1"/>
  <c r="N405" i="1"/>
  <c r="D416" i="1"/>
  <c r="F416" i="1"/>
  <c r="G416" i="1"/>
  <c r="H416" i="1"/>
  <c r="I416" i="1"/>
  <c r="J416" i="1"/>
  <c r="K416" i="1"/>
  <c r="L416" i="1"/>
  <c r="M416" i="1"/>
  <c r="N416" i="1"/>
  <c r="D364" i="1"/>
  <c r="F364" i="1"/>
  <c r="G364" i="1"/>
  <c r="H364" i="1"/>
  <c r="I364" i="1"/>
  <c r="J364" i="1"/>
  <c r="K364" i="1"/>
  <c r="L364" i="1"/>
  <c r="M364" i="1"/>
  <c r="N364" i="1"/>
  <c r="D256" i="1"/>
  <c r="F256" i="1"/>
  <c r="G256" i="1"/>
  <c r="H256" i="1"/>
  <c r="I256" i="1"/>
  <c r="J256" i="1"/>
  <c r="K256" i="1"/>
  <c r="L256" i="1"/>
  <c r="M256" i="1"/>
  <c r="N256" i="1"/>
  <c r="D6" i="1"/>
  <c r="F6" i="1"/>
  <c r="G6" i="1"/>
  <c r="H6" i="1"/>
  <c r="I6" i="1"/>
  <c r="J6" i="1"/>
  <c r="K6" i="1"/>
  <c r="L6" i="1"/>
  <c r="M6" i="1"/>
  <c r="N6" i="1"/>
  <c r="D349" i="1"/>
  <c r="F349" i="1"/>
  <c r="G349" i="1"/>
  <c r="H349" i="1"/>
  <c r="I349" i="1"/>
  <c r="J349" i="1"/>
  <c r="K349" i="1"/>
  <c r="L349" i="1"/>
  <c r="M349" i="1"/>
  <c r="N349" i="1"/>
  <c r="D361" i="1"/>
  <c r="F361" i="1"/>
  <c r="G361" i="1"/>
  <c r="H361" i="1"/>
  <c r="I361" i="1"/>
  <c r="J361" i="1"/>
  <c r="K361" i="1"/>
  <c r="L361" i="1"/>
  <c r="M361" i="1"/>
  <c r="N361" i="1"/>
  <c r="D272" i="1"/>
  <c r="F272" i="1"/>
  <c r="G272" i="1"/>
  <c r="H272" i="1"/>
  <c r="I272" i="1"/>
  <c r="J272" i="1"/>
  <c r="K272" i="1"/>
  <c r="L272" i="1"/>
  <c r="M272" i="1"/>
  <c r="N272" i="1"/>
  <c r="D259" i="1"/>
  <c r="F259" i="1"/>
  <c r="G259" i="1"/>
  <c r="H259" i="1"/>
  <c r="I259" i="1"/>
  <c r="J259" i="1"/>
  <c r="K259" i="1"/>
  <c r="L259" i="1"/>
  <c r="M259" i="1"/>
  <c r="N259" i="1"/>
  <c r="D318" i="1"/>
  <c r="F318" i="1"/>
  <c r="G318" i="1"/>
  <c r="H318" i="1"/>
  <c r="I318" i="1"/>
  <c r="J318" i="1"/>
  <c r="K318" i="1"/>
  <c r="L318" i="1"/>
  <c r="M318" i="1"/>
  <c r="N318" i="1"/>
  <c r="D326" i="1"/>
  <c r="F326" i="1"/>
  <c r="G326" i="1"/>
  <c r="H326" i="1"/>
  <c r="I326" i="1"/>
  <c r="J326" i="1"/>
  <c r="K326" i="1"/>
  <c r="L326" i="1"/>
  <c r="M326" i="1"/>
  <c r="N326" i="1"/>
  <c r="D356" i="1"/>
  <c r="F356" i="1"/>
  <c r="G356" i="1"/>
  <c r="H356" i="1"/>
  <c r="I356" i="1"/>
  <c r="J356" i="1"/>
  <c r="K356" i="1"/>
  <c r="L356" i="1"/>
  <c r="M356" i="1"/>
  <c r="N356" i="1"/>
  <c r="D164" i="1"/>
  <c r="F164" i="1"/>
  <c r="G164" i="1"/>
  <c r="H164" i="1"/>
  <c r="I164" i="1"/>
  <c r="J164" i="1"/>
  <c r="K164" i="1"/>
  <c r="L164" i="1"/>
  <c r="M164" i="1"/>
  <c r="N164" i="1"/>
  <c r="D363" i="1"/>
  <c r="F363" i="1"/>
  <c r="G363" i="1"/>
  <c r="H363" i="1"/>
  <c r="I363" i="1"/>
  <c r="J363" i="1"/>
  <c r="K363" i="1"/>
  <c r="L363" i="1"/>
  <c r="M363" i="1"/>
  <c r="N363" i="1"/>
  <c r="D38" i="1"/>
  <c r="F38" i="1"/>
  <c r="G38" i="1"/>
  <c r="H38" i="1"/>
  <c r="I38" i="1"/>
  <c r="J38" i="1"/>
  <c r="K38" i="1"/>
  <c r="L38" i="1"/>
  <c r="M38" i="1"/>
  <c r="N38" i="1"/>
  <c r="D57" i="1"/>
  <c r="F57" i="1"/>
  <c r="G57" i="1"/>
  <c r="H57" i="1"/>
  <c r="I57" i="1"/>
  <c r="J57" i="1"/>
  <c r="K57" i="1"/>
  <c r="L57" i="1"/>
  <c r="M57" i="1"/>
  <c r="N57" i="1"/>
  <c r="D249" i="1"/>
  <c r="F249" i="1"/>
  <c r="G249" i="1"/>
  <c r="H249" i="1"/>
  <c r="I249" i="1"/>
  <c r="J249" i="1"/>
  <c r="K249" i="1"/>
  <c r="L249" i="1"/>
  <c r="M249" i="1"/>
  <c r="N249" i="1"/>
  <c r="D100" i="1"/>
  <c r="F100" i="1"/>
  <c r="G100" i="1"/>
  <c r="H100" i="1"/>
  <c r="I100" i="1"/>
  <c r="J100" i="1"/>
  <c r="K100" i="1"/>
  <c r="L100" i="1"/>
  <c r="M100" i="1"/>
  <c r="N100" i="1"/>
  <c r="D42" i="1"/>
  <c r="F42" i="1"/>
  <c r="G42" i="1"/>
  <c r="H42" i="1"/>
  <c r="I42" i="1"/>
  <c r="J42" i="1"/>
  <c r="K42" i="1"/>
  <c r="L42" i="1"/>
  <c r="M42" i="1"/>
  <c r="N42" i="1"/>
  <c r="D108" i="1"/>
  <c r="F108" i="1"/>
  <c r="G108" i="1"/>
  <c r="H108" i="1"/>
  <c r="I108" i="1"/>
  <c r="J108" i="1"/>
  <c r="K108" i="1"/>
  <c r="L108" i="1"/>
  <c r="M108" i="1"/>
  <c r="N108" i="1"/>
  <c r="D387" i="1"/>
  <c r="F387" i="1"/>
  <c r="G387" i="1"/>
  <c r="H387" i="1"/>
  <c r="I387" i="1"/>
  <c r="J387" i="1"/>
  <c r="K387" i="1"/>
  <c r="L387" i="1"/>
  <c r="M387" i="1"/>
  <c r="N387" i="1"/>
  <c r="D116" i="1"/>
  <c r="F116" i="1"/>
  <c r="G116" i="1"/>
  <c r="H116" i="1"/>
  <c r="I116" i="1"/>
  <c r="J116" i="1"/>
  <c r="K116" i="1"/>
  <c r="L116" i="1"/>
  <c r="M116" i="1"/>
  <c r="N116" i="1"/>
  <c r="D157" i="1"/>
  <c r="F157" i="1"/>
  <c r="G157" i="1"/>
  <c r="H157" i="1"/>
  <c r="I157" i="1"/>
  <c r="J157" i="1"/>
  <c r="K157" i="1"/>
  <c r="L157" i="1"/>
  <c r="M157" i="1"/>
  <c r="N157" i="1"/>
  <c r="D20" i="1"/>
  <c r="F20" i="1"/>
  <c r="G20" i="1"/>
  <c r="H20" i="1"/>
  <c r="I20" i="1"/>
  <c r="J20" i="1"/>
  <c r="K20" i="1"/>
  <c r="L20" i="1"/>
  <c r="M20" i="1"/>
  <c r="N20" i="1"/>
  <c r="D27" i="1"/>
  <c r="F27" i="1"/>
  <c r="G27" i="1"/>
  <c r="H27" i="1"/>
  <c r="I27" i="1"/>
  <c r="J27" i="1"/>
  <c r="K27" i="1"/>
  <c r="L27" i="1"/>
  <c r="M27" i="1"/>
  <c r="N27" i="1"/>
  <c r="D33" i="1"/>
  <c r="F33" i="1"/>
  <c r="G33" i="1"/>
  <c r="H33" i="1"/>
  <c r="I33" i="1"/>
  <c r="J33" i="1"/>
  <c r="K33" i="1"/>
  <c r="L33" i="1"/>
  <c r="M33" i="1"/>
  <c r="N33" i="1"/>
  <c r="D64" i="1"/>
  <c r="F64" i="1"/>
  <c r="G64" i="1"/>
  <c r="H64" i="1"/>
  <c r="I64" i="1"/>
  <c r="J64" i="1"/>
  <c r="K64" i="1"/>
  <c r="L64" i="1"/>
  <c r="M64" i="1"/>
  <c r="N64" i="1"/>
  <c r="D162" i="1"/>
  <c r="F162" i="1"/>
  <c r="G162" i="1"/>
  <c r="H162" i="1"/>
  <c r="I162" i="1"/>
  <c r="J162" i="1"/>
  <c r="K162" i="1"/>
  <c r="L162" i="1"/>
  <c r="M162" i="1"/>
  <c r="N162" i="1"/>
  <c r="D269" i="1"/>
  <c r="F269" i="1"/>
  <c r="G269" i="1"/>
  <c r="H269" i="1"/>
  <c r="I269" i="1"/>
  <c r="J269" i="1"/>
  <c r="K269" i="1"/>
  <c r="L269" i="1"/>
  <c r="M269" i="1"/>
  <c r="N269" i="1"/>
  <c r="D330" i="1"/>
  <c r="F330" i="1"/>
  <c r="G330" i="1"/>
  <c r="H330" i="1"/>
  <c r="I330" i="1"/>
  <c r="J330" i="1"/>
  <c r="K330" i="1"/>
  <c r="L330" i="1"/>
  <c r="M330" i="1"/>
  <c r="N330" i="1"/>
  <c r="D397" i="1"/>
  <c r="F397" i="1"/>
  <c r="G397" i="1"/>
  <c r="H397" i="1"/>
  <c r="I397" i="1"/>
  <c r="J397" i="1"/>
  <c r="K397" i="1"/>
  <c r="L397" i="1"/>
  <c r="M397" i="1"/>
  <c r="N397" i="1"/>
  <c r="D418" i="1"/>
  <c r="F418" i="1"/>
  <c r="G418" i="1"/>
  <c r="H418" i="1"/>
  <c r="I418" i="1"/>
  <c r="J418" i="1"/>
  <c r="K418" i="1"/>
  <c r="L418" i="1"/>
  <c r="M418" i="1"/>
  <c r="N418" i="1"/>
  <c r="D252" i="1"/>
  <c r="F252" i="1"/>
  <c r="G252" i="1"/>
  <c r="H252" i="1"/>
  <c r="I252" i="1"/>
  <c r="J252" i="1"/>
  <c r="K252" i="1"/>
  <c r="L252" i="1"/>
  <c r="M252" i="1"/>
  <c r="N252" i="1"/>
  <c r="D253" i="1"/>
  <c r="F253" i="1"/>
  <c r="G253" i="1"/>
  <c r="H253" i="1"/>
  <c r="I253" i="1"/>
  <c r="J253" i="1"/>
  <c r="K253" i="1"/>
  <c r="L253" i="1"/>
  <c r="M253" i="1"/>
  <c r="N253" i="1"/>
  <c r="D278" i="1"/>
  <c r="F278" i="1"/>
  <c r="G278" i="1"/>
  <c r="H278" i="1"/>
  <c r="I278" i="1"/>
  <c r="J278" i="1"/>
  <c r="K278" i="1"/>
  <c r="L278" i="1"/>
  <c r="M278" i="1"/>
  <c r="N278" i="1"/>
  <c r="D303" i="1"/>
  <c r="F303" i="1"/>
  <c r="G303" i="1"/>
  <c r="H303" i="1"/>
  <c r="I303" i="1"/>
  <c r="J303" i="1"/>
  <c r="K303" i="1"/>
  <c r="L303" i="1"/>
  <c r="M303" i="1"/>
  <c r="N303" i="1"/>
  <c r="D109" i="1"/>
  <c r="F109" i="1"/>
  <c r="G109" i="1"/>
  <c r="H109" i="1"/>
  <c r="I109" i="1"/>
  <c r="J109" i="1"/>
  <c r="K109" i="1"/>
  <c r="L109" i="1"/>
  <c r="M109" i="1"/>
  <c r="N109" i="1"/>
  <c r="D188" i="1"/>
  <c r="F188" i="1"/>
  <c r="G188" i="1"/>
  <c r="H188" i="1"/>
  <c r="I188" i="1"/>
  <c r="J188" i="1"/>
  <c r="K188" i="1"/>
  <c r="L188" i="1"/>
  <c r="M188" i="1"/>
  <c r="N188" i="1"/>
  <c r="D214" i="1"/>
  <c r="F214" i="1"/>
  <c r="G214" i="1"/>
  <c r="H214" i="1"/>
  <c r="I214" i="1"/>
  <c r="J214" i="1"/>
  <c r="K214" i="1"/>
  <c r="L214" i="1"/>
  <c r="M214" i="1"/>
  <c r="N214" i="1"/>
  <c r="D220" i="1"/>
  <c r="F220" i="1"/>
  <c r="G220" i="1"/>
  <c r="H220" i="1"/>
  <c r="I220" i="1"/>
  <c r="J220" i="1"/>
  <c r="K220" i="1"/>
  <c r="L220" i="1"/>
  <c r="M220" i="1"/>
  <c r="N220" i="1"/>
  <c r="D277" i="1"/>
  <c r="F277" i="1"/>
  <c r="G277" i="1"/>
  <c r="H277" i="1"/>
  <c r="I277" i="1"/>
  <c r="J277" i="1"/>
  <c r="K277" i="1"/>
  <c r="L277" i="1"/>
  <c r="M277" i="1"/>
  <c r="N277" i="1"/>
  <c r="D417" i="1"/>
  <c r="F417" i="1"/>
  <c r="G417" i="1"/>
  <c r="H417" i="1"/>
  <c r="I417" i="1"/>
  <c r="J417" i="1"/>
  <c r="K417" i="1"/>
  <c r="L417" i="1"/>
  <c r="M417" i="1"/>
  <c r="N417" i="1"/>
  <c r="D292" i="1"/>
  <c r="F292" i="1"/>
  <c r="G292" i="1"/>
  <c r="H292" i="1"/>
  <c r="I292" i="1"/>
  <c r="J292" i="1"/>
  <c r="K292" i="1"/>
  <c r="L292" i="1"/>
  <c r="M292" i="1"/>
  <c r="N292" i="1"/>
  <c r="D300" i="1"/>
  <c r="F300" i="1"/>
  <c r="G300" i="1"/>
  <c r="H300" i="1"/>
  <c r="I300" i="1"/>
  <c r="J300" i="1"/>
  <c r="K300" i="1"/>
  <c r="L300" i="1"/>
  <c r="M300" i="1"/>
  <c r="N300" i="1"/>
  <c r="D112" i="1"/>
  <c r="F112" i="1"/>
  <c r="G112" i="1"/>
  <c r="H112" i="1"/>
  <c r="I112" i="1"/>
  <c r="J112" i="1"/>
  <c r="K112" i="1"/>
  <c r="L112" i="1"/>
  <c r="M112" i="1"/>
  <c r="N112" i="1"/>
  <c r="D320" i="1"/>
  <c r="F320" i="1"/>
  <c r="G320" i="1"/>
  <c r="H320" i="1"/>
  <c r="I320" i="1"/>
  <c r="J320" i="1"/>
  <c r="K320" i="1"/>
  <c r="L320" i="1"/>
  <c r="M320" i="1"/>
  <c r="N320" i="1"/>
  <c r="D328" i="1"/>
  <c r="F328" i="1"/>
  <c r="G328" i="1"/>
  <c r="H328" i="1"/>
  <c r="I328" i="1"/>
  <c r="J328" i="1"/>
  <c r="K328" i="1"/>
  <c r="L328" i="1"/>
  <c r="M328" i="1"/>
  <c r="N328" i="1"/>
  <c r="D332" i="1"/>
  <c r="F332" i="1"/>
  <c r="G332" i="1"/>
  <c r="H332" i="1"/>
  <c r="I332" i="1"/>
  <c r="J332" i="1"/>
  <c r="K332" i="1"/>
  <c r="L332" i="1"/>
  <c r="M332" i="1"/>
  <c r="N332" i="1"/>
  <c r="D339" i="1"/>
  <c r="F339" i="1"/>
  <c r="G339" i="1"/>
  <c r="H339" i="1"/>
  <c r="I339" i="1"/>
  <c r="J339" i="1"/>
  <c r="K339" i="1"/>
  <c r="L339" i="1"/>
  <c r="M339" i="1"/>
  <c r="N339" i="1"/>
  <c r="D351" i="1"/>
  <c r="F351" i="1"/>
  <c r="G351" i="1"/>
  <c r="H351" i="1"/>
  <c r="I351" i="1"/>
  <c r="J351" i="1"/>
  <c r="K351" i="1"/>
  <c r="L351" i="1"/>
  <c r="M351" i="1"/>
  <c r="N351" i="1"/>
  <c r="D362" i="1"/>
  <c r="F362" i="1"/>
  <c r="G362" i="1"/>
  <c r="H362" i="1"/>
  <c r="I362" i="1"/>
  <c r="J362" i="1"/>
  <c r="K362" i="1"/>
  <c r="L362" i="1"/>
  <c r="M362" i="1"/>
  <c r="N362" i="1"/>
  <c r="D97" i="1"/>
  <c r="F97" i="1"/>
  <c r="G97" i="1"/>
  <c r="H97" i="1"/>
  <c r="I97" i="1"/>
  <c r="J97" i="1"/>
  <c r="K97" i="1"/>
  <c r="L97" i="1"/>
  <c r="M97" i="1"/>
  <c r="N97" i="1"/>
  <c r="D427" i="1"/>
  <c r="F427" i="1"/>
  <c r="G427" i="1"/>
  <c r="H427" i="1"/>
  <c r="I427" i="1"/>
  <c r="J427" i="1"/>
  <c r="K427" i="1"/>
  <c r="L427" i="1"/>
  <c r="M427" i="1"/>
  <c r="N427" i="1"/>
  <c r="D279" i="1"/>
  <c r="F279" i="1"/>
  <c r="G279" i="1"/>
  <c r="H279" i="1"/>
  <c r="I279" i="1"/>
  <c r="J279" i="1"/>
  <c r="K279" i="1"/>
  <c r="L279" i="1"/>
  <c r="M279" i="1"/>
  <c r="N279" i="1"/>
  <c r="D12" i="1"/>
  <c r="F12" i="1"/>
  <c r="G12" i="1"/>
  <c r="H12" i="1"/>
  <c r="I12" i="1"/>
  <c r="J12" i="1"/>
  <c r="K12" i="1"/>
  <c r="L12" i="1"/>
  <c r="M12" i="1"/>
  <c r="N12" i="1"/>
  <c r="D7" i="1"/>
  <c r="F7" i="1"/>
  <c r="G7" i="1"/>
  <c r="H7" i="1"/>
  <c r="I7" i="1"/>
  <c r="J7" i="1"/>
  <c r="K7" i="1"/>
  <c r="L7" i="1"/>
  <c r="M7" i="1"/>
  <c r="N7" i="1"/>
  <c r="D251" i="1"/>
  <c r="F251" i="1"/>
  <c r="G251" i="1"/>
  <c r="H251" i="1"/>
  <c r="I251" i="1"/>
  <c r="J251" i="1"/>
  <c r="K251" i="1"/>
  <c r="L251" i="1"/>
  <c r="M251" i="1"/>
  <c r="N251" i="1"/>
  <c r="D302" i="1"/>
  <c r="F302" i="1"/>
  <c r="G302" i="1"/>
  <c r="H302" i="1"/>
  <c r="I302" i="1"/>
  <c r="J302" i="1"/>
  <c r="K302" i="1"/>
  <c r="L302" i="1"/>
  <c r="M302" i="1"/>
  <c r="N302" i="1"/>
  <c r="D296" i="1"/>
  <c r="F296" i="1"/>
  <c r="G296" i="1"/>
  <c r="H296" i="1"/>
  <c r="I296" i="1"/>
  <c r="J296" i="1"/>
  <c r="K296" i="1"/>
  <c r="L296" i="1"/>
  <c r="M296" i="1"/>
  <c r="N296" i="1"/>
  <c r="D25" i="1"/>
  <c r="F25" i="1"/>
  <c r="G25" i="1"/>
  <c r="H25" i="1"/>
  <c r="I25" i="1"/>
  <c r="J25" i="1"/>
  <c r="K25" i="1"/>
  <c r="L25" i="1"/>
  <c r="M25" i="1"/>
  <c r="N25" i="1"/>
  <c r="D178" i="1"/>
  <c r="F178" i="1"/>
  <c r="G178" i="1"/>
  <c r="H178" i="1"/>
  <c r="I178" i="1"/>
  <c r="J178" i="1"/>
  <c r="K178" i="1"/>
  <c r="L178" i="1"/>
  <c r="M178" i="1"/>
  <c r="N178" i="1"/>
  <c r="D212" i="1"/>
  <c r="F212" i="1"/>
  <c r="G212" i="1"/>
  <c r="H212" i="1"/>
  <c r="I212" i="1"/>
  <c r="J212" i="1"/>
  <c r="K212" i="1"/>
  <c r="L212" i="1"/>
  <c r="M212" i="1"/>
  <c r="N212" i="1"/>
  <c r="D247" i="1"/>
  <c r="F247" i="1"/>
  <c r="G247" i="1"/>
  <c r="H247" i="1"/>
  <c r="I247" i="1"/>
  <c r="J247" i="1"/>
  <c r="K247" i="1"/>
  <c r="L247" i="1"/>
  <c r="M247" i="1"/>
  <c r="N247" i="1"/>
  <c r="D319" i="1"/>
  <c r="F319" i="1"/>
  <c r="G319" i="1"/>
  <c r="H319" i="1"/>
  <c r="I319" i="1"/>
  <c r="J319" i="1"/>
  <c r="K319" i="1"/>
  <c r="L319" i="1"/>
  <c r="M319" i="1"/>
  <c r="N319" i="1"/>
  <c r="D346" i="1"/>
  <c r="F346" i="1"/>
  <c r="G346" i="1"/>
  <c r="H346" i="1"/>
  <c r="I346" i="1"/>
  <c r="J346" i="1"/>
  <c r="K346" i="1"/>
  <c r="L346" i="1"/>
  <c r="M346" i="1"/>
  <c r="N346" i="1"/>
  <c r="D368" i="1"/>
  <c r="F368" i="1"/>
  <c r="G368" i="1"/>
  <c r="H368" i="1"/>
  <c r="I368" i="1"/>
  <c r="J368" i="1"/>
  <c r="K368" i="1"/>
  <c r="L368" i="1"/>
  <c r="M368" i="1"/>
  <c r="N368" i="1"/>
  <c r="D391" i="1"/>
  <c r="F391" i="1"/>
  <c r="G391" i="1"/>
  <c r="H391" i="1"/>
  <c r="I391" i="1"/>
  <c r="J391" i="1"/>
  <c r="K391" i="1"/>
  <c r="L391" i="1"/>
  <c r="M391" i="1"/>
  <c r="N391" i="1"/>
  <c r="D26" i="1"/>
  <c r="F26" i="1"/>
  <c r="G26" i="1"/>
  <c r="H26" i="1"/>
  <c r="I26" i="1"/>
  <c r="J26" i="1"/>
  <c r="K26" i="1"/>
  <c r="L26" i="1"/>
  <c r="M26" i="1"/>
  <c r="N26" i="1"/>
  <c r="D282" i="1"/>
  <c r="F282" i="1"/>
  <c r="G282" i="1"/>
  <c r="H282" i="1"/>
  <c r="I282" i="1"/>
  <c r="J282" i="1"/>
  <c r="K282" i="1"/>
  <c r="L282" i="1"/>
  <c r="M282" i="1"/>
  <c r="N282" i="1"/>
  <c r="D173" i="1"/>
  <c r="F173" i="1"/>
  <c r="G173" i="1"/>
  <c r="H173" i="1"/>
  <c r="I173" i="1"/>
  <c r="J173" i="1"/>
  <c r="K173" i="1"/>
  <c r="L173" i="1"/>
  <c r="M173" i="1"/>
  <c r="N173" i="1"/>
  <c r="D357" i="1"/>
  <c r="F357" i="1"/>
  <c r="G357" i="1"/>
  <c r="H357" i="1"/>
  <c r="I357" i="1"/>
  <c r="J357" i="1"/>
  <c r="K357" i="1"/>
  <c r="L357" i="1"/>
  <c r="M357" i="1"/>
  <c r="N357" i="1"/>
  <c r="D289" i="1"/>
  <c r="F289" i="1"/>
  <c r="G289" i="1"/>
  <c r="H289" i="1"/>
  <c r="I289" i="1"/>
  <c r="J289" i="1"/>
  <c r="K289" i="1"/>
  <c r="L289" i="1"/>
  <c r="M289" i="1"/>
  <c r="N289" i="1"/>
  <c r="D54" i="1"/>
  <c r="F54" i="1"/>
  <c r="G54" i="1"/>
  <c r="H54" i="1"/>
  <c r="I54" i="1"/>
  <c r="J54" i="1"/>
  <c r="K54" i="1"/>
  <c r="L54" i="1"/>
  <c r="M54" i="1"/>
  <c r="N54" i="1"/>
  <c r="D160" i="1"/>
  <c r="F160" i="1"/>
  <c r="G160" i="1"/>
  <c r="H160" i="1"/>
  <c r="I160" i="1"/>
  <c r="J160" i="1"/>
  <c r="K160" i="1"/>
  <c r="L160" i="1"/>
  <c r="M160" i="1"/>
  <c r="N160" i="1"/>
  <c r="D86" i="1"/>
  <c r="F86" i="1"/>
  <c r="G86" i="1"/>
  <c r="H86" i="1"/>
  <c r="I86" i="1"/>
  <c r="J86" i="1"/>
  <c r="K86" i="1"/>
  <c r="L86" i="1"/>
  <c r="M86" i="1"/>
  <c r="N86" i="1"/>
  <c r="D406" i="1"/>
  <c r="F406" i="1"/>
  <c r="G406" i="1"/>
  <c r="H406" i="1"/>
  <c r="I406" i="1"/>
  <c r="J406" i="1"/>
  <c r="K406" i="1"/>
  <c r="L406" i="1"/>
  <c r="M406" i="1"/>
  <c r="N406" i="1"/>
  <c r="D254" i="1"/>
  <c r="F254" i="1"/>
  <c r="G254" i="1"/>
  <c r="H254" i="1"/>
  <c r="I254" i="1"/>
  <c r="J254" i="1"/>
  <c r="K254" i="1"/>
  <c r="L254" i="1"/>
  <c r="M254" i="1"/>
  <c r="N254" i="1"/>
  <c r="D274" i="1"/>
  <c r="F274" i="1"/>
  <c r="G274" i="1"/>
  <c r="H274" i="1"/>
  <c r="I274" i="1"/>
  <c r="J274" i="1"/>
  <c r="K274" i="1"/>
  <c r="L274" i="1"/>
  <c r="M274" i="1"/>
  <c r="N274" i="1"/>
  <c r="D276" i="1"/>
  <c r="F276" i="1"/>
  <c r="G276" i="1"/>
  <c r="H276" i="1"/>
  <c r="I276" i="1"/>
  <c r="J276" i="1"/>
  <c r="K276" i="1"/>
  <c r="L276" i="1"/>
  <c r="M276" i="1"/>
  <c r="N276" i="1"/>
  <c r="D168" i="1"/>
  <c r="F168" i="1"/>
  <c r="G168" i="1"/>
  <c r="H168" i="1"/>
  <c r="I168" i="1"/>
  <c r="J168" i="1"/>
  <c r="K168" i="1"/>
  <c r="L168" i="1"/>
  <c r="M168" i="1"/>
  <c r="N168" i="1"/>
  <c r="D344" i="1"/>
  <c r="F344" i="1"/>
  <c r="G344" i="1"/>
  <c r="H344" i="1"/>
  <c r="I344" i="1"/>
  <c r="J344" i="1"/>
  <c r="K344" i="1"/>
  <c r="L344" i="1"/>
  <c r="M344" i="1"/>
  <c r="N344" i="1"/>
  <c r="D383" i="1"/>
  <c r="F383" i="1"/>
  <c r="G383" i="1"/>
  <c r="H383" i="1"/>
  <c r="I383" i="1"/>
  <c r="J383" i="1"/>
  <c r="K383" i="1"/>
  <c r="L383" i="1"/>
  <c r="M383" i="1"/>
  <c r="N383" i="1"/>
  <c r="D195" i="1"/>
  <c r="F195" i="1"/>
  <c r="G195" i="1"/>
  <c r="H195" i="1"/>
  <c r="I195" i="1"/>
  <c r="J195" i="1"/>
  <c r="K195" i="1"/>
  <c r="L195" i="1"/>
  <c r="M195" i="1"/>
  <c r="N195" i="1"/>
  <c r="D84" i="1"/>
  <c r="F84" i="1"/>
  <c r="G84" i="1"/>
  <c r="H84" i="1"/>
  <c r="I84" i="1"/>
  <c r="J84" i="1"/>
  <c r="K84" i="1"/>
  <c r="L84" i="1"/>
  <c r="M84" i="1"/>
  <c r="N84" i="1"/>
  <c r="D248" i="1"/>
  <c r="F248" i="1"/>
  <c r="G248" i="1"/>
  <c r="H248" i="1"/>
  <c r="I248" i="1"/>
  <c r="J248" i="1"/>
  <c r="K248" i="1"/>
  <c r="L248" i="1"/>
  <c r="M248" i="1"/>
  <c r="N248" i="1"/>
  <c r="D400" i="1"/>
  <c r="F400" i="1"/>
  <c r="G400" i="1"/>
  <c r="H400" i="1"/>
  <c r="I400" i="1"/>
  <c r="J400" i="1"/>
  <c r="K400" i="1"/>
  <c r="L400" i="1"/>
  <c r="M400" i="1"/>
  <c r="N400" i="1"/>
  <c r="D142" i="1"/>
  <c r="F142" i="1"/>
  <c r="G142" i="1"/>
  <c r="H142" i="1"/>
  <c r="I142" i="1"/>
  <c r="J142" i="1"/>
  <c r="K142" i="1"/>
  <c r="L142" i="1"/>
  <c r="M142" i="1"/>
  <c r="N142" i="1"/>
  <c r="D56" i="1"/>
  <c r="F56" i="1"/>
  <c r="G56" i="1"/>
  <c r="H56" i="1"/>
  <c r="I56" i="1"/>
  <c r="J56" i="1"/>
  <c r="K56" i="1"/>
  <c r="L56" i="1"/>
  <c r="M56" i="1"/>
  <c r="N56" i="1"/>
  <c r="D63" i="1"/>
  <c r="F63" i="1"/>
  <c r="G63" i="1"/>
  <c r="H63" i="1"/>
  <c r="I63" i="1"/>
  <c r="J63" i="1"/>
  <c r="K63" i="1"/>
  <c r="L63" i="1"/>
  <c r="M63" i="1"/>
  <c r="N63" i="1"/>
  <c r="D74" i="1"/>
  <c r="F74" i="1"/>
  <c r="G74" i="1"/>
  <c r="H74" i="1"/>
  <c r="I74" i="1"/>
  <c r="J74" i="1"/>
  <c r="K74" i="1"/>
  <c r="L74" i="1"/>
  <c r="M74" i="1"/>
  <c r="N74" i="1"/>
  <c r="D107" i="1"/>
  <c r="F107" i="1"/>
  <c r="G107" i="1"/>
  <c r="H107" i="1"/>
  <c r="I107" i="1"/>
  <c r="J107" i="1"/>
  <c r="K107" i="1"/>
  <c r="L107" i="1"/>
  <c r="M107" i="1"/>
  <c r="N107" i="1"/>
  <c r="D123" i="1"/>
  <c r="F123" i="1"/>
  <c r="G123" i="1"/>
  <c r="H123" i="1"/>
  <c r="I123" i="1"/>
  <c r="J123" i="1"/>
  <c r="K123" i="1"/>
  <c r="L123" i="1"/>
  <c r="M123" i="1"/>
  <c r="N123" i="1"/>
  <c r="D264" i="1"/>
  <c r="F264" i="1"/>
  <c r="G264" i="1"/>
  <c r="H264" i="1"/>
  <c r="I264" i="1"/>
  <c r="J264" i="1"/>
  <c r="K264" i="1"/>
  <c r="L264" i="1"/>
  <c r="M264" i="1"/>
  <c r="N264" i="1"/>
  <c r="D265" i="1"/>
  <c r="F265" i="1"/>
  <c r="G265" i="1"/>
  <c r="H265" i="1"/>
  <c r="I265" i="1"/>
  <c r="J265" i="1"/>
  <c r="K265" i="1"/>
  <c r="L265" i="1"/>
  <c r="M265" i="1"/>
  <c r="N265" i="1"/>
  <c r="D186" i="1"/>
  <c r="F186" i="1"/>
  <c r="G186" i="1"/>
  <c r="H186" i="1"/>
  <c r="I186" i="1"/>
  <c r="J186" i="1"/>
  <c r="K186" i="1"/>
  <c r="L186" i="1"/>
  <c r="M186" i="1"/>
  <c r="N186" i="1"/>
  <c r="D205" i="1"/>
  <c r="F205" i="1"/>
  <c r="G205" i="1"/>
  <c r="H205" i="1"/>
  <c r="I205" i="1"/>
  <c r="J205" i="1"/>
  <c r="K205" i="1"/>
  <c r="L205" i="1"/>
  <c r="M205" i="1"/>
  <c r="N205" i="1"/>
  <c r="D219" i="1"/>
  <c r="F219" i="1"/>
  <c r="G219" i="1"/>
  <c r="H219" i="1"/>
  <c r="I219" i="1"/>
  <c r="J219" i="1"/>
  <c r="K219" i="1"/>
  <c r="L219" i="1"/>
  <c r="M219" i="1"/>
  <c r="N219" i="1"/>
  <c r="D329" i="1"/>
  <c r="F329" i="1"/>
  <c r="G329" i="1"/>
  <c r="H329" i="1"/>
  <c r="I329" i="1"/>
  <c r="J329" i="1"/>
  <c r="K329" i="1"/>
  <c r="L329" i="1"/>
  <c r="M329" i="1"/>
  <c r="N329" i="1"/>
  <c r="D317" i="1"/>
  <c r="F317" i="1"/>
  <c r="G317" i="1"/>
  <c r="H317" i="1"/>
  <c r="I317" i="1"/>
  <c r="J317" i="1"/>
  <c r="K317" i="1"/>
  <c r="L317" i="1"/>
  <c r="M317" i="1"/>
  <c r="N317" i="1"/>
  <c r="D52" i="1"/>
  <c r="F52" i="1"/>
  <c r="G52" i="1"/>
  <c r="H52" i="1"/>
  <c r="I52" i="1"/>
  <c r="J52" i="1"/>
  <c r="K52" i="1"/>
  <c r="L52" i="1"/>
  <c r="M52" i="1"/>
  <c r="N52" i="1"/>
  <c r="D283" i="1"/>
  <c r="F283" i="1"/>
  <c r="G283" i="1"/>
  <c r="H283" i="1"/>
  <c r="I283" i="1"/>
  <c r="J283" i="1"/>
  <c r="K283" i="1"/>
  <c r="L283" i="1"/>
  <c r="M283" i="1"/>
  <c r="N283" i="1"/>
  <c r="D200" i="1"/>
  <c r="F200" i="1"/>
  <c r="G200" i="1"/>
  <c r="H200" i="1"/>
  <c r="I200" i="1"/>
  <c r="J200" i="1"/>
  <c r="K200" i="1"/>
  <c r="L200" i="1"/>
  <c r="M200" i="1"/>
  <c r="N200" i="1"/>
  <c r="D374" i="1"/>
  <c r="F374" i="1"/>
  <c r="G374" i="1"/>
  <c r="H374" i="1"/>
  <c r="I374" i="1"/>
  <c r="J374" i="1"/>
  <c r="K374" i="1"/>
  <c r="L374" i="1"/>
  <c r="M374" i="1"/>
  <c r="N374" i="1"/>
  <c r="D17" i="1"/>
  <c r="F17" i="1"/>
  <c r="G17" i="1"/>
  <c r="H17" i="1"/>
  <c r="I17" i="1"/>
  <c r="J17" i="1"/>
  <c r="K17" i="1"/>
  <c r="L17" i="1"/>
  <c r="M17" i="1"/>
  <c r="N17" i="1"/>
  <c r="D313" i="1"/>
  <c r="F313" i="1"/>
  <c r="G313" i="1"/>
  <c r="H313" i="1"/>
  <c r="I313" i="1"/>
  <c r="J313" i="1"/>
  <c r="K313" i="1"/>
  <c r="L313" i="1"/>
  <c r="M313" i="1"/>
  <c r="N313" i="1"/>
  <c r="D3" i="1"/>
  <c r="F3" i="1"/>
  <c r="G3" i="1"/>
  <c r="H3" i="1"/>
  <c r="I3" i="1"/>
  <c r="J3" i="1"/>
  <c r="K3" i="1"/>
  <c r="L3" i="1"/>
  <c r="M3" i="1"/>
  <c r="N3" i="1"/>
  <c r="D239" i="1"/>
  <c r="F239" i="1"/>
  <c r="G239" i="1"/>
  <c r="H239" i="1"/>
  <c r="I239" i="1"/>
  <c r="J239" i="1"/>
  <c r="K239" i="1"/>
  <c r="L239" i="1"/>
  <c r="M239" i="1"/>
  <c r="N239" i="1"/>
  <c r="D34" i="1"/>
  <c r="F34" i="1"/>
  <c r="G34" i="1"/>
  <c r="H34" i="1"/>
  <c r="I34" i="1"/>
  <c r="J34" i="1"/>
  <c r="K34" i="1"/>
  <c r="L34" i="1"/>
  <c r="M34" i="1"/>
  <c r="N34" i="1"/>
  <c r="D13" i="1"/>
  <c r="F13" i="1"/>
  <c r="G13" i="1"/>
  <c r="H13" i="1"/>
  <c r="I13" i="1"/>
  <c r="J13" i="1"/>
  <c r="K13" i="1"/>
  <c r="L13" i="1"/>
  <c r="M13" i="1"/>
  <c r="N13" i="1"/>
  <c r="D124" i="1"/>
  <c r="F124" i="1"/>
  <c r="G124" i="1"/>
  <c r="H124" i="1"/>
  <c r="I124" i="1"/>
  <c r="J124" i="1"/>
  <c r="K124" i="1"/>
  <c r="L124" i="1"/>
  <c r="M124" i="1"/>
  <c r="N124" i="1"/>
  <c r="D401" i="1"/>
  <c r="F401" i="1"/>
  <c r="G401" i="1"/>
  <c r="H401" i="1"/>
  <c r="I401" i="1"/>
  <c r="J401" i="1"/>
  <c r="K401" i="1"/>
  <c r="L401" i="1"/>
  <c r="M401" i="1"/>
  <c r="N401" i="1"/>
  <c r="D92" i="1"/>
  <c r="F92" i="1"/>
  <c r="G92" i="1"/>
  <c r="H92" i="1"/>
  <c r="I92" i="1"/>
  <c r="J92" i="1"/>
  <c r="K92" i="1"/>
  <c r="L92" i="1"/>
  <c r="M92" i="1"/>
  <c r="N92" i="1"/>
  <c r="D196" i="1"/>
  <c r="F196" i="1"/>
  <c r="G196" i="1"/>
  <c r="H196" i="1"/>
  <c r="I196" i="1"/>
  <c r="J196" i="1"/>
  <c r="K196" i="1"/>
  <c r="L196" i="1"/>
  <c r="M196" i="1"/>
  <c r="N196" i="1"/>
  <c r="D103" i="1"/>
  <c r="F103" i="1"/>
  <c r="G103" i="1"/>
  <c r="H103" i="1"/>
  <c r="I103" i="1"/>
  <c r="J103" i="1"/>
  <c r="K103" i="1"/>
  <c r="L103" i="1"/>
  <c r="M103" i="1"/>
  <c r="N103" i="1"/>
  <c r="D261" i="1"/>
  <c r="F261" i="1"/>
  <c r="G261" i="1"/>
  <c r="H261" i="1"/>
  <c r="I261" i="1"/>
  <c r="J261" i="1"/>
  <c r="K261" i="1"/>
  <c r="L261" i="1"/>
  <c r="M261" i="1"/>
  <c r="N261" i="1"/>
  <c r="D262" i="1"/>
  <c r="F262" i="1"/>
  <c r="G262" i="1"/>
  <c r="H262" i="1"/>
  <c r="I262" i="1"/>
  <c r="J262" i="1"/>
  <c r="K262" i="1"/>
  <c r="L262" i="1"/>
  <c r="M262" i="1"/>
  <c r="N262" i="1"/>
  <c r="D350" i="1"/>
  <c r="F350" i="1"/>
  <c r="G350" i="1"/>
  <c r="H350" i="1"/>
  <c r="I350" i="1"/>
  <c r="J350" i="1"/>
  <c r="K350" i="1"/>
  <c r="L350" i="1"/>
  <c r="M350" i="1"/>
  <c r="N350" i="1"/>
  <c r="D14" i="1"/>
  <c r="F14" i="1"/>
  <c r="G14" i="1"/>
  <c r="H14" i="1"/>
  <c r="I14" i="1"/>
  <c r="J14" i="1"/>
  <c r="K14" i="1"/>
  <c r="L14" i="1"/>
  <c r="M14" i="1"/>
  <c r="N14" i="1"/>
  <c r="D127" i="1"/>
  <c r="F127" i="1"/>
  <c r="G127" i="1"/>
  <c r="H127" i="1"/>
  <c r="I127" i="1"/>
  <c r="J127" i="1"/>
  <c r="K127" i="1"/>
  <c r="L127" i="1"/>
  <c r="M127" i="1"/>
  <c r="N127" i="1"/>
  <c r="D197" i="1"/>
  <c r="F197" i="1"/>
  <c r="G197" i="1"/>
  <c r="H197" i="1"/>
  <c r="I197" i="1"/>
  <c r="J197" i="1"/>
  <c r="K197" i="1"/>
  <c r="L197" i="1"/>
  <c r="M197" i="1"/>
  <c r="N197" i="1"/>
  <c r="D198" i="1"/>
  <c r="F198" i="1"/>
  <c r="G198" i="1"/>
  <c r="H198" i="1"/>
  <c r="I198" i="1"/>
  <c r="J198" i="1"/>
  <c r="K198" i="1"/>
  <c r="L198" i="1"/>
  <c r="M198" i="1"/>
  <c r="N198" i="1"/>
  <c r="D206" i="1"/>
  <c r="F206" i="1"/>
  <c r="G206" i="1"/>
  <c r="H206" i="1"/>
  <c r="I206" i="1"/>
  <c r="J206" i="1"/>
  <c r="K206" i="1"/>
  <c r="L206" i="1"/>
  <c r="M206" i="1"/>
  <c r="N206" i="1"/>
  <c r="D322" i="1"/>
  <c r="F322" i="1"/>
  <c r="G322" i="1"/>
  <c r="H322" i="1"/>
  <c r="I322" i="1"/>
  <c r="J322" i="1"/>
  <c r="K322" i="1"/>
  <c r="L322" i="1"/>
  <c r="M322" i="1"/>
  <c r="N322" i="1"/>
  <c r="D358" i="1"/>
  <c r="F358" i="1"/>
  <c r="G358" i="1"/>
  <c r="H358" i="1"/>
  <c r="I358" i="1"/>
  <c r="J358" i="1"/>
  <c r="K358" i="1"/>
  <c r="L358" i="1"/>
  <c r="M358" i="1"/>
  <c r="N358" i="1"/>
  <c r="D301" i="1"/>
  <c r="F301" i="1"/>
  <c r="G301" i="1"/>
  <c r="H301" i="1"/>
  <c r="I301" i="1"/>
  <c r="J301" i="1"/>
  <c r="K301" i="1"/>
  <c r="L301" i="1"/>
  <c r="M301" i="1"/>
  <c r="N301" i="1"/>
  <c r="D90" i="1"/>
  <c r="F90" i="1"/>
  <c r="G90" i="1"/>
  <c r="H90" i="1"/>
  <c r="I90" i="1"/>
  <c r="J90" i="1"/>
  <c r="K90" i="1"/>
  <c r="L90" i="1"/>
  <c r="M90" i="1"/>
  <c r="N90" i="1"/>
  <c r="D229" i="1"/>
  <c r="F229" i="1"/>
  <c r="G229" i="1"/>
  <c r="H229" i="1"/>
  <c r="I229" i="1"/>
  <c r="J229" i="1"/>
  <c r="K229" i="1"/>
  <c r="L229" i="1"/>
  <c r="M229" i="1"/>
  <c r="N229" i="1"/>
  <c r="D180" i="1"/>
  <c r="F180" i="1"/>
  <c r="G180" i="1"/>
  <c r="H180" i="1"/>
  <c r="I180" i="1"/>
  <c r="J180" i="1"/>
  <c r="K180" i="1"/>
  <c r="L180" i="1"/>
  <c r="M180" i="1"/>
  <c r="N180" i="1"/>
  <c r="D288" i="1"/>
  <c r="F288" i="1"/>
  <c r="G288" i="1"/>
  <c r="H288" i="1"/>
  <c r="I288" i="1"/>
  <c r="J288" i="1"/>
  <c r="K288" i="1"/>
  <c r="L288" i="1"/>
  <c r="M288" i="1"/>
  <c r="N288" i="1"/>
  <c r="D290" i="1"/>
  <c r="F290" i="1"/>
  <c r="G290" i="1"/>
  <c r="H290" i="1"/>
  <c r="I290" i="1"/>
  <c r="J290" i="1"/>
  <c r="K290" i="1"/>
  <c r="L290" i="1"/>
  <c r="M290" i="1"/>
  <c r="N290" i="1"/>
  <c r="D104" i="1"/>
  <c r="F104" i="1"/>
  <c r="G104" i="1"/>
  <c r="H104" i="1"/>
  <c r="I104" i="1"/>
  <c r="J104" i="1"/>
  <c r="K104" i="1"/>
  <c r="L104" i="1"/>
  <c r="M104" i="1"/>
  <c r="N104" i="1"/>
  <c r="D151" i="1"/>
  <c r="F151" i="1"/>
  <c r="G151" i="1"/>
  <c r="H151" i="1"/>
  <c r="I151" i="1"/>
  <c r="J151" i="1"/>
  <c r="K151" i="1"/>
  <c r="L151" i="1"/>
  <c r="M151" i="1"/>
  <c r="N151" i="1"/>
  <c r="D299" i="1"/>
  <c r="F299" i="1"/>
  <c r="G299" i="1"/>
  <c r="H299" i="1"/>
  <c r="I299" i="1"/>
  <c r="J299" i="1"/>
  <c r="K299" i="1"/>
  <c r="L299" i="1"/>
  <c r="M299" i="1"/>
  <c r="N299" i="1"/>
  <c r="D396" i="1"/>
  <c r="F396" i="1"/>
  <c r="G396" i="1"/>
  <c r="H396" i="1"/>
  <c r="I396" i="1"/>
  <c r="J396" i="1"/>
  <c r="K396" i="1"/>
  <c r="L396" i="1"/>
  <c r="M396" i="1"/>
  <c r="N396" i="1"/>
  <c r="D45" i="1"/>
  <c r="F45" i="1"/>
  <c r="G45" i="1"/>
  <c r="H45" i="1"/>
  <c r="I45" i="1"/>
  <c r="J45" i="1"/>
  <c r="K45" i="1"/>
  <c r="L45" i="1"/>
  <c r="M45" i="1"/>
  <c r="N45" i="1"/>
  <c r="D409" i="1"/>
  <c r="F409" i="1"/>
  <c r="G409" i="1"/>
  <c r="H409" i="1"/>
  <c r="I409" i="1"/>
  <c r="J409" i="1"/>
  <c r="K409" i="1"/>
  <c r="L409" i="1"/>
  <c r="M409" i="1"/>
  <c r="N409" i="1"/>
  <c r="D410" i="1"/>
  <c r="F410" i="1"/>
  <c r="G410" i="1"/>
  <c r="H410" i="1"/>
  <c r="I410" i="1"/>
  <c r="J410" i="1"/>
  <c r="K410" i="1"/>
  <c r="L410" i="1"/>
  <c r="M410" i="1"/>
  <c r="N410" i="1"/>
  <c r="D412" i="1"/>
  <c r="F412" i="1"/>
  <c r="G412" i="1"/>
  <c r="H412" i="1"/>
  <c r="I412" i="1"/>
  <c r="J412" i="1"/>
  <c r="K412" i="1"/>
  <c r="L412" i="1"/>
  <c r="M412" i="1"/>
  <c r="N412" i="1"/>
  <c r="D175" i="1"/>
  <c r="F175" i="1"/>
  <c r="G175" i="1"/>
  <c r="H175" i="1"/>
  <c r="I175" i="1"/>
  <c r="J175" i="1"/>
  <c r="K175" i="1"/>
  <c r="L175" i="1"/>
  <c r="M175" i="1"/>
  <c r="N175" i="1"/>
  <c r="D183" i="1"/>
  <c r="F183" i="1"/>
  <c r="G183" i="1"/>
  <c r="H183" i="1"/>
  <c r="I183" i="1"/>
  <c r="J183" i="1"/>
  <c r="K183" i="1"/>
  <c r="L183" i="1"/>
  <c r="M183" i="1"/>
  <c r="N183" i="1"/>
  <c r="D312" i="1"/>
  <c r="F312" i="1"/>
  <c r="G312" i="1"/>
  <c r="H312" i="1"/>
  <c r="I312" i="1"/>
  <c r="J312" i="1"/>
  <c r="K312" i="1"/>
  <c r="L312" i="1"/>
  <c r="M312" i="1"/>
  <c r="N312" i="1"/>
  <c r="D203" i="1"/>
  <c r="F203" i="1"/>
  <c r="G203" i="1"/>
  <c r="H203" i="1"/>
  <c r="I203" i="1"/>
  <c r="J203" i="1"/>
  <c r="K203" i="1"/>
  <c r="L203" i="1"/>
  <c r="M203" i="1"/>
  <c r="N203" i="1"/>
  <c r="D68" i="1"/>
  <c r="F68" i="1"/>
  <c r="G68" i="1"/>
  <c r="H68" i="1"/>
  <c r="I68" i="1"/>
  <c r="J68" i="1"/>
  <c r="K68" i="1"/>
  <c r="L68" i="1"/>
  <c r="M68" i="1"/>
  <c r="N68" i="1"/>
  <c r="D267" i="1"/>
  <c r="F267" i="1"/>
  <c r="G267" i="1"/>
  <c r="H267" i="1"/>
  <c r="I267" i="1"/>
  <c r="J267" i="1"/>
  <c r="K267" i="1"/>
  <c r="L267" i="1"/>
  <c r="M267" i="1"/>
  <c r="N267" i="1"/>
  <c r="D111" i="1"/>
  <c r="F111" i="1"/>
  <c r="G111" i="1"/>
  <c r="H111" i="1"/>
  <c r="I111" i="1"/>
  <c r="J111" i="1"/>
  <c r="K111" i="1"/>
  <c r="L111" i="1"/>
  <c r="M111" i="1"/>
  <c r="N111" i="1"/>
  <c r="D169" i="1"/>
  <c r="F169" i="1"/>
  <c r="G169" i="1"/>
  <c r="H169" i="1"/>
  <c r="I169" i="1"/>
  <c r="J169" i="1"/>
  <c r="K169" i="1"/>
  <c r="L169" i="1"/>
  <c r="M169" i="1"/>
  <c r="N169" i="1"/>
  <c r="D71" i="1"/>
  <c r="F71" i="1"/>
  <c r="G71" i="1"/>
  <c r="H71" i="1"/>
  <c r="I71" i="1"/>
  <c r="J71" i="1"/>
  <c r="K71" i="1"/>
  <c r="L71" i="1"/>
  <c r="M71" i="1"/>
  <c r="N71" i="1"/>
  <c r="D181" i="1"/>
  <c r="F181" i="1"/>
  <c r="G181" i="1"/>
  <c r="H181" i="1"/>
  <c r="I181" i="1"/>
  <c r="J181" i="1"/>
  <c r="K181" i="1"/>
  <c r="L181" i="1"/>
  <c r="M181" i="1"/>
  <c r="N181" i="1"/>
  <c r="D224" i="1"/>
  <c r="F224" i="1"/>
  <c r="G224" i="1"/>
  <c r="H224" i="1"/>
  <c r="I224" i="1"/>
  <c r="J224" i="1"/>
  <c r="K224" i="1"/>
  <c r="L224" i="1"/>
  <c r="M224" i="1"/>
  <c r="N224" i="1"/>
  <c r="D226" i="1"/>
  <c r="F226" i="1"/>
  <c r="G226" i="1"/>
  <c r="H226" i="1"/>
  <c r="I226" i="1"/>
  <c r="J226" i="1"/>
  <c r="K226" i="1"/>
  <c r="L226" i="1"/>
  <c r="M226" i="1"/>
  <c r="N226" i="1"/>
  <c r="D129" i="1"/>
  <c r="F129" i="1"/>
  <c r="G129" i="1"/>
  <c r="H129" i="1"/>
  <c r="I129" i="1"/>
  <c r="J129" i="1"/>
  <c r="K129" i="1"/>
  <c r="L129" i="1"/>
  <c r="M129" i="1"/>
  <c r="N129" i="1"/>
  <c r="D315" i="1"/>
  <c r="F315" i="1"/>
  <c r="G315" i="1"/>
  <c r="H315" i="1"/>
  <c r="I315" i="1"/>
  <c r="J315" i="1"/>
  <c r="K315" i="1"/>
  <c r="L315" i="1"/>
  <c r="M315" i="1"/>
  <c r="N315" i="1"/>
  <c r="D266" i="1"/>
  <c r="F266" i="1"/>
  <c r="G266" i="1"/>
  <c r="H266" i="1"/>
  <c r="I266" i="1"/>
  <c r="J266" i="1"/>
  <c r="K266" i="1"/>
  <c r="L266" i="1"/>
  <c r="M266" i="1"/>
  <c r="N266" i="1"/>
  <c r="D294" i="1"/>
  <c r="F294" i="1"/>
  <c r="G294" i="1"/>
  <c r="H294" i="1"/>
  <c r="I294" i="1"/>
  <c r="J294" i="1"/>
  <c r="K294" i="1"/>
  <c r="L294" i="1"/>
  <c r="M294" i="1"/>
  <c r="N294" i="1"/>
  <c r="D88" i="1"/>
  <c r="F88" i="1"/>
  <c r="G88" i="1"/>
  <c r="H88" i="1"/>
  <c r="I88" i="1"/>
  <c r="J88" i="1"/>
  <c r="K88" i="1"/>
  <c r="L88" i="1"/>
  <c r="M88" i="1"/>
  <c r="N88" i="1"/>
  <c r="D234" i="1"/>
  <c r="F234" i="1"/>
  <c r="G234" i="1"/>
  <c r="H234" i="1"/>
  <c r="I234" i="1"/>
  <c r="J234" i="1"/>
  <c r="K234" i="1"/>
  <c r="L234" i="1"/>
  <c r="M234" i="1"/>
  <c r="N234" i="1"/>
  <c r="D331" i="1"/>
  <c r="F331" i="1"/>
  <c r="G331" i="1"/>
  <c r="H331" i="1"/>
  <c r="I331" i="1"/>
  <c r="J331" i="1"/>
  <c r="K331" i="1"/>
  <c r="L331" i="1"/>
  <c r="M331" i="1"/>
  <c r="N331" i="1"/>
  <c r="D336" i="1"/>
  <c r="F336" i="1"/>
  <c r="G336" i="1"/>
  <c r="H336" i="1"/>
  <c r="I336" i="1"/>
  <c r="J336" i="1"/>
  <c r="K336" i="1"/>
  <c r="L336" i="1"/>
  <c r="M336" i="1"/>
  <c r="N336" i="1"/>
  <c r="D393" i="1"/>
  <c r="F393" i="1"/>
  <c r="G393" i="1"/>
  <c r="H393" i="1"/>
  <c r="I393" i="1"/>
  <c r="J393" i="1"/>
  <c r="K393" i="1"/>
  <c r="L393" i="1"/>
  <c r="M393" i="1"/>
  <c r="N393" i="1"/>
  <c r="D402" i="1"/>
  <c r="F402" i="1"/>
  <c r="G402" i="1"/>
  <c r="H402" i="1"/>
  <c r="I402" i="1"/>
  <c r="J402" i="1"/>
  <c r="K402" i="1"/>
  <c r="L402" i="1"/>
  <c r="M402" i="1"/>
  <c r="N402" i="1"/>
  <c r="D237" i="1"/>
  <c r="F237" i="1"/>
  <c r="G237" i="1"/>
  <c r="H237" i="1"/>
  <c r="I237" i="1"/>
  <c r="J237" i="1"/>
  <c r="K237" i="1"/>
  <c r="L237" i="1"/>
  <c r="M237" i="1"/>
  <c r="N237" i="1"/>
  <c r="D305" i="1"/>
  <c r="F305" i="1"/>
  <c r="G305" i="1"/>
  <c r="H305" i="1"/>
  <c r="I305" i="1"/>
  <c r="J305" i="1"/>
  <c r="K305" i="1"/>
  <c r="L305" i="1"/>
  <c r="M305" i="1"/>
  <c r="N305" i="1"/>
  <c r="D245" i="1"/>
  <c r="F245" i="1"/>
  <c r="G245" i="1"/>
  <c r="H245" i="1"/>
  <c r="I245" i="1"/>
  <c r="J245" i="1"/>
  <c r="K245" i="1"/>
  <c r="L245" i="1"/>
  <c r="M245" i="1"/>
  <c r="N245" i="1"/>
  <c r="D9" i="1"/>
  <c r="F9" i="1"/>
  <c r="G9" i="1"/>
  <c r="H9" i="1"/>
  <c r="I9" i="1"/>
  <c r="J9" i="1"/>
  <c r="K9" i="1"/>
  <c r="L9" i="1"/>
  <c r="M9" i="1"/>
  <c r="N9" i="1"/>
  <c r="D47" i="1"/>
  <c r="F47" i="1"/>
  <c r="G47" i="1"/>
  <c r="H47" i="1"/>
  <c r="I47" i="1"/>
  <c r="J47" i="1"/>
  <c r="K47" i="1"/>
  <c r="L47" i="1"/>
  <c r="M47" i="1"/>
  <c r="N47" i="1"/>
  <c r="D407" i="1"/>
  <c r="F407" i="1"/>
  <c r="G407" i="1"/>
  <c r="H407" i="1"/>
  <c r="I407" i="1"/>
  <c r="J407" i="1"/>
  <c r="K407" i="1"/>
  <c r="L407" i="1"/>
  <c r="M407" i="1"/>
  <c r="N407" i="1"/>
  <c r="D359" i="1"/>
  <c r="F359" i="1"/>
  <c r="G359" i="1"/>
  <c r="H359" i="1"/>
  <c r="I359" i="1"/>
  <c r="J359" i="1"/>
  <c r="K359" i="1"/>
  <c r="L359" i="1"/>
  <c r="M359" i="1"/>
  <c r="N359" i="1"/>
  <c r="D370" i="1"/>
  <c r="F370" i="1"/>
  <c r="G370" i="1"/>
  <c r="H370" i="1"/>
  <c r="I370" i="1"/>
  <c r="J370" i="1"/>
  <c r="K370" i="1"/>
  <c r="L370" i="1"/>
  <c r="M370" i="1"/>
  <c r="N370" i="1"/>
  <c r="D41" i="1"/>
  <c r="F41" i="1"/>
  <c r="G41" i="1"/>
  <c r="H41" i="1"/>
  <c r="I41" i="1"/>
  <c r="J41" i="1"/>
  <c r="K41" i="1"/>
  <c r="L41" i="1"/>
  <c r="M41" i="1"/>
  <c r="N41" i="1"/>
  <c r="D166" i="1"/>
  <c r="F166" i="1"/>
  <c r="G166" i="1"/>
  <c r="H166" i="1"/>
  <c r="I166" i="1"/>
  <c r="J166" i="1"/>
  <c r="K166" i="1"/>
  <c r="L166" i="1"/>
  <c r="M166" i="1"/>
  <c r="N166" i="1"/>
  <c r="D176" i="1"/>
  <c r="F176" i="1"/>
  <c r="G176" i="1"/>
  <c r="H176" i="1"/>
  <c r="I176" i="1"/>
  <c r="J176" i="1"/>
  <c r="K176" i="1"/>
  <c r="L176" i="1"/>
  <c r="M176" i="1"/>
  <c r="N176" i="1"/>
  <c r="D50" i="1"/>
  <c r="F50" i="1"/>
  <c r="G50" i="1"/>
  <c r="H50" i="1"/>
  <c r="I50" i="1"/>
  <c r="J50" i="1"/>
  <c r="K50" i="1"/>
  <c r="L50" i="1"/>
  <c r="M50" i="1"/>
  <c r="N50" i="1"/>
  <c r="D210" i="1"/>
  <c r="F210" i="1"/>
  <c r="G210" i="1"/>
  <c r="H210" i="1"/>
  <c r="I210" i="1"/>
  <c r="J210" i="1"/>
  <c r="K210" i="1"/>
  <c r="L210" i="1"/>
  <c r="M210" i="1"/>
  <c r="N210" i="1"/>
  <c r="D177" i="1"/>
  <c r="F177" i="1"/>
  <c r="G177" i="1"/>
  <c r="H177" i="1"/>
  <c r="I177" i="1"/>
  <c r="J177" i="1"/>
  <c r="K177" i="1"/>
  <c r="L177" i="1"/>
  <c r="M177" i="1"/>
  <c r="N177" i="1"/>
  <c r="D153" i="1"/>
  <c r="F153" i="1"/>
  <c r="G153" i="1"/>
  <c r="H153" i="1"/>
  <c r="I153" i="1"/>
  <c r="J153" i="1"/>
  <c r="K153" i="1"/>
  <c r="L153" i="1"/>
  <c r="M153" i="1"/>
  <c r="N153" i="1"/>
  <c r="D384" i="1"/>
  <c r="F384" i="1"/>
  <c r="G384" i="1"/>
  <c r="H384" i="1"/>
  <c r="I384" i="1"/>
  <c r="J384" i="1"/>
  <c r="K384" i="1"/>
  <c r="L384" i="1"/>
  <c r="M384" i="1"/>
  <c r="N384" i="1"/>
</calcChain>
</file>

<file path=xl/sharedStrings.xml><?xml version="1.0" encoding="utf-8"?>
<sst xmlns="http://schemas.openxmlformats.org/spreadsheetml/2006/main" count="1484" uniqueCount="1116">
  <si>
    <t xml:space="preserve">FirstName  </t>
  </si>
  <si>
    <t xml:space="preserve">LastName  </t>
  </si>
  <si>
    <t xml:space="preserve">Email  </t>
  </si>
  <si>
    <t xml:space="preserve">Title  </t>
  </si>
  <si>
    <t xml:space="preserve">Number of Employees  </t>
  </si>
  <si>
    <t xml:space="preserve">Company  </t>
  </si>
  <si>
    <t xml:space="preserve">Phone  </t>
  </si>
  <si>
    <t xml:space="preserve">Address 1  </t>
  </si>
  <si>
    <t xml:space="preserve">Address 2  </t>
  </si>
  <si>
    <t xml:space="preserve">City  </t>
  </si>
  <si>
    <t xml:space="preserve">State/Province  </t>
  </si>
  <si>
    <t xml:space="preserve">Postal/Zip Code  </t>
  </si>
  <si>
    <t xml:space="preserve">Website?  </t>
  </si>
  <si>
    <t>Tim</t>
  </si>
  <si>
    <t>James</t>
  </si>
  <si>
    <t>timothy.james@va.gov</t>
  </si>
  <si>
    <t>Nick</t>
  </si>
  <si>
    <t>Casey</t>
  </si>
  <si>
    <t>Williams</t>
  </si>
  <si>
    <t>Sara</t>
  </si>
  <si>
    <t>Richmond</t>
  </si>
  <si>
    <t>sara.richmond@va.gov</t>
  </si>
  <si>
    <t>100-499</t>
  </si>
  <si>
    <t>1500+</t>
  </si>
  <si>
    <t>Brittney</t>
  </si>
  <si>
    <t>Irby</t>
  </si>
  <si>
    <t>brittney.irby@va.gov</t>
  </si>
  <si>
    <t>William</t>
  </si>
  <si>
    <t>Alexander</t>
  </si>
  <si>
    <t>Kushan</t>
  </si>
  <si>
    <t>alexander.kushan@va.gov</t>
  </si>
  <si>
    <t>Leah</t>
  </si>
  <si>
    <t>Boothe</t>
  </si>
  <si>
    <t>lboothe@nciinc.com</t>
  </si>
  <si>
    <t>500-1500</t>
  </si>
  <si>
    <t>Sa</t>
  </si>
  <si>
    <t>Huynh</t>
  </si>
  <si>
    <t>proposals@def-logix.com</t>
  </si>
  <si>
    <t>Michael</t>
  </si>
  <si>
    <t>Steven</t>
  </si>
  <si>
    <t>Parrish</t>
  </si>
  <si>
    <t>steve.parrish@simulationiq.com</t>
  </si>
  <si>
    <t>Kevin</t>
  </si>
  <si>
    <t>Lidonna</t>
  </si>
  <si>
    <t>Beer</t>
  </si>
  <si>
    <t>lidonna.beer@va.gov</t>
  </si>
  <si>
    <t>Alyssa</t>
  </si>
  <si>
    <t>Sherman</t>
  </si>
  <si>
    <t>asherman@adobe.com</t>
  </si>
  <si>
    <t>Larry</t>
  </si>
  <si>
    <t>Adams</t>
  </si>
  <si>
    <t>Nutanix</t>
  </si>
  <si>
    <t>Russell</t>
  </si>
  <si>
    <t>eric.russell@nutanix.com</t>
  </si>
  <si>
    <t>Karen</t>
  </si>
  <si>
    <t>Brandon</t>
  </si>
  <si>
    <t>Beth</t>
  </si>
  <si>
    <t>Mahan</t>
  </si>
  <si>
    <t>beth.mahan@bw-thinking.com</t>
  </si>
  <si>
    <t>Stewart</t>
  </si>
  <si>
    <t>Wharton</t>
  </si>
  <si>
    <t>swharton@dminc.com</t>
  </si>
  <si>
    <t>Lahaie</t>
  </si>
  <si>
    <t>beth.lahaie@totalcyber.com</t>
  </si>
  <si>
    <t>Nitin</t>
  </si>
  <si>
    <t>Bansal</t>
  </si>
  <si>
    <t>nitin.bansal@ibm.com</t>
  </si>
  <si>
    <t>Andy</t>
  </si>
  <si>
    <t>Andrews</t>
  </si>
  <si>
    <t>aandrews@palantir.com</t>
  </si>
  <si>
    <t>Jared</t>
  </si>
  <si>
    <t>Marvel</t>
  </si>
  <si>
    <t>jx588n@att.com</t>
  </si>
  <si>
    <t>Heideh</t>
  </si>
  <si>
    <t>Shadmand</t>
  </si>
  <si>
    <t>heideh.shadmand@sekon.com</t>
  </si>
  <si>
    <t>Scott</t>
  </si>
  <si>
    <t>Anderson</t>
  </si>
  <si>
    <t>scott.anderson@ironbow.com</t>
  </si>
  <si>
    <t>Aaron</t>
  </si>
  <si>
    <t>Moak</t>
  </si>
  <si>
    <t>aaron.moak@clearvantagepoint.com</t>
  </si>
  <si>
    <t>Jennifer</t>
  </si>
  <si>
    <t>Brice</t>
  </si>
  <si>
    <t>jbrice@vmware.com</t>
  </si>
  <si>
    <t>Kim</t>
  </si>
  <si>
    <t>Carlton</t>
  </si>
  <si>
    <t>Foote</t>
  </si>
  <si>
    <t>CGI FEDERAL INC US003</t>
  </si>
  <si>
    <t>Dodds</t>
  </si>
  <si>
    <t>arlene.dodds@cgifederal.com</t>
  </si>
  <si>
    <t>Hannah</t>
  </si>
  <si>
    <t>Hammer</t>
  </si>
  <si>
    <t>hannah.hammer@us.gt.com</t>
  </si>
  <si>
    <t>Darrell</t>
  </si>
  <si>
    <t>Heinrichs</t>
  </si>
  <si>
    <t>dheinrichs@sierra7.com</t>
  </si>
  <si>
    <t>John</t>
  </si>
  <si>
    <t>Hays</t>
  </si>
  <si>
    <t>jhays@merlincyber.com</t>
  </si>
  <si>
    <t>Walter</t>
  </si>
  <si>
    <t>Matkovich</t>
  </si>
  <si>
    <t>walter.l.matkovich@leidos.com</t>
  </si>
  <si>
    <t>Joe</t>
  </si>
  <si>
    <t>Skinner</t>
  </si>
  <si>
    <t>joe.skinner@jjrsolutions.com</t>
  </si>
  <si>
    <t>Phillip</t>
  </si>
  <si>
    <t>Wellington</t>
  </si>
  <si>
    <t>phillip.wellington@siemens-healthineers.com</t>
  </si>
  <si>
    <t>Brad</t>
  </si>
  <si>
    <t>Johnson</t>
  </si>
  <si>
    <t>brad.johnson@blackwood.ai</t>
  </si>
  <si>
    <t>Doug</t>
  </si>
  <si>
    <t>Felix</t>
  </si>
  <si>
    <t>Martinez</t>
  </si>
  <si>
    <t>felix.martinez@us.gt.com</t>
  </si>
  <si>
    <t>Matt</t>
  </si>
  <si>
    <t>Ehrhardt</t>
  </si>
  <si>
    <t>mehrhardt@v3gate.com</t>
  </si>
  <si>
    <t>Richard</t>
  </si>
  <si>
    <t>Michelli</t>
  </si>
  <si>
    <t>richard@michelliassociates.com</t>
  </si>
  <si>
    <t>Harry</t>
  </si>
  <si>
    <t>harry.stewart@ncp-llc.com</t>
  </si>
  <si>
    <t>Doyle</t>
  </si>
  <si>
    <t>larry.doyle@appgate.com</t>
  </si>
  <si>
    <t>Rick</t>
  </si>
  <si>
    <t>Leslie</t>
  </si>
  <si>
    <t>Crowley</t>
  </si>
  <si>
    <t>lcrowley@winvale.com</t>
  </si>
  <si>
    <t>Wesley</t>
  </si>
  <si>
    <t>Smith</t>
  </si>
  <si>
    <t>wes@braetr.com</t>
  </si>
  <si>
    <t>Gary</t>
  </si>
  <si>
    <t>Whitney</t>
  </si>
  <si>
    <t>Bridges</t>
  </si>
  <si>
    <t>whitney.bridges@grsi.com</t>
  </si>
  <si>
    <t>Yasir</t>
  </si>
  <si>
    <t>Hashmi</t>
  </si>
  <si>
    <t>yasir.hashmi@us.gt.com</t>
  </si>
  <si>
    <t>Wes</t>
  </si>
  <si>
    <t>Jackson</t>
  </si>
  <si>
    <t>wjackson@redhat.com</t>
  </si>
  <si>
    <t>Nicole</t>
  </si>
  <si>
    <t>Peters</t>
  </si>
  <si>
    <t>nicole.peters@anthem.com</t>
  </si>
  <si>
    <t>Information Sciences Consulting,</t>
  </si>
  <si>
    <t>Lisowski</t>
  </si>
  <si>
    <t>tlisowski@teamisci.com</t>
  </si>
  <si>
    <t>Robert</t>
  </si>
  <si>
    <t>Lane</t>
  </si>
  <si>
    <t>rlane@srltotalsource.com</t>
  </si>
  <si>
    <t>Nigel</t>
  </si>
  <si>
    <t>Rourke</t>
  </si>
  <si>
    <t>nrourke@paragonmicro.com</t>
  </si>
  <si>
    <t>scott.walter@saic.com</t>
  </si>
  <si>
    <t>Deana</t>
  </si>
  <si>
    <t>Steve</t>
  </si>
  <si>
    <t>Parker</t>
  </si>
  <si>
    <t>steve.parker@ibm.com</t>
  </si>
  <si>
    <t>Bush</t>
  </si>
  <si>
    <t>Mandeep</t>
  </si>
  <si>
    <t>Singh</t>
  </si>
  <si>
    <t>mandeep.singh@a2-g.com</t>
  </si>
  <si>
    <t>Peterson</t>
  </si>
  <si>
    <t>jpeterson@sierra7.com</t>
  </si>
  <si>
    <t>Paresh</t>
  </si>
  <si>
    <t>Shah</t>
  </si>
  <si>
    <t>pshah@mindleaf.com</t>
  </si>
  <si>
    <t>Westenhofer</t>
  </si>
  <si>
    <t>swestenhofer@psi-it.com</t>
  </si>
  <si>
    <t>Mark</t>
  </si>
  <si>
    <t>Sagan</t>
  </si>
  <si>
    <t>mas@ferliseassociates.com</t>
  </si>
  <si>
    <t>Rosemarie</t>
  </si>
  <si>
    <t>Gardner</t>
  </si>
  <si>
    <t>rgardner1040@verizon.net</t>
  </si>
  <si>
    <t>Sami</t>
  </si>
  <si>
    <t>Joueidi</t>
  </si>
  <si>
    <t>samijou@us.ibm.com</t>
  </si>
  <si>
    <t>Jim</t>
  </si>
  <si>
    <t>Markwalder</t>
  </si>
  <si>
    <t>jmarkwa@us.ibm.com</t>
  </si>
  <si>
    <t>Bond</t>
  </si>
  <si>
    <t>jennifer.bond@cognosante.com</t>
  </si>
  <si>
    <t>Susan</t>
  </si>
  <si>
    <t>Burke</t>
  </si>
  <si>
    <t>susan.burke@cognosante.com</t>
  </si>
  <si>
    <t>Chris</t>
  </si>
  <si>
    <t>william.jackson@aptiveresources.com</t>
  </si>
  <si>
    <t>Jones</t>
  </si>
  <si>
    <t>sjones@technatomy.com</t>
  </si>
  <si>
    <t>Carucci</t>
  </si>
  <si>
    <t>mcarucci@vtleaders.com</t>
  </si>
  <si>
    <t>Courtney</t>
  </si>
  <si>
    <t>Welch</t>
  </si>
  <si>
    <t>courtney.welch@innovethealth.com</t>
  </si>
  <si>
    <t>Ravindra</t>
  </si>
  <si>
    <t>Gupta</t>
  </si>
  <si>
    <t>ravindra.gupta@trilogyfederal.com</t>
  </si>
  <si>
    <t>Bryan</t>
  </si>
  <si>
    <t>O'Neill</t>
  </si>
  <si>
    <t>bryan.o'neill@lexisnexisrisk.com</t>
  </si>
  <si>
    <t>Greg</t>
  </si>
  <si>
    <t>Giddens</t>
  </si>
  <si>
    <t>greg.giddens@potomacridgeconsulting.com</t>
  </si>
  <si>
    <t>Rebecca</t>
  </si>
  <si>
    <t>Crowe</t>
  </si>
  <si>
    <t>recrowe@microsoft.com</t>
  </si>
  <si>
    <t>Daniel</t>
  </si>
  <si>
    <t>Wong</t>
  </si>
  <si>
    <t>danielwong@salesforce.com</t>
  </si>
  <si>
    <t>Alberi</t>
  </si>
  <si>
    <t>malberi@plan-sys.com</t>
  </si>
  <si>
    <t>Brittany</t>
  </si>
  <si>
    <t>McMaster</t>
  </si>
  <si>
    <t>brittany.mcmaster@ecstech.com</t>
  </si>
  <si>
    <t>Carla</t>
  </si>
  <si>
    <t>Allison</t>
  </si>
  <si>
    <t>carla.allison@saic.com</t>
  </si>
  <si>
    <t>Eileen</t>
  </si>
  <si>
    <t>Peng</t>
  </si>
  <si>
    <t>eileen.peng@minuteman-llc.com</t>
  </si>
  <si>
    <t>Diana</t>
  </si>
  <si>
    <t>Nathan</t>
  </si>
  <si>
    <t>Dan</t>
  </si>
  <si>
    <t>Phil</t>
  </si>
  <si>
    <t>Russo</t>
  </si>
  <si>
    <t>jon10alex13@gmail.com</t>
  </si>
  <si>
    <t>Greaves</t>
  </si>
  <si>
    <t>bill.greaves@integrestech.com</t>
  </si>
  <si>
    <t>Kerry</t>
  </si>
  <si>
    <t>Hall</t>
  </si>
  <si>
    <t>kerry.hall@leidos.com</t>
  </si>
  <si>
    <t>Moss</t>
  </si>
  <si>
    <t>mmoss@confluent.io</t>
  </si>
  <si>
    <t>Morris</t>
  </si>
  <si>
    <t>Zwick</t>
  </si>
  <si>
    <t>mzwick@2ndwavellc.com</t>
  </si>
  <si>
    <t>Christina</t>
  </si>
  <si>
    <t>Nichols</t>
  </si>
  <si>
    <t>christina.nichols@philips.com</t>
  </si>
  <si>
    <t>Darris</t>
  </si>
  <si>
    <t>Griffis</t>
  </si>
  <si>
    <t>darris.griffis@avenirmissionsolutions.com</t>
  </si>
  <si>
    <t>Sherri</t>
  </si>
  <si>
    <t>Wagner</t>
  </si>
  <si>
    <t>greg.wagner@allin-solutions.com</t>
  </si>
  <si>
    <t>Eric</t>
  </si>
  <si>
    <t>Gonzales</t>
  </si>
  <si>
    <t>eric.gonzales@aptiveresources.com</t>
  </si>
  <si>
    <t>steve.james@issmgmt.com</t>
  </si>
  <si>
    <t>Grumko</t>
  </si>
  <si>
    <t>jgrumko@timesyst.com</t>
  </si>
  <si>
    <t>Lynda</t>
  </si>
  <si>
    <t>Joseph</t>
  </si>
  <si>
    <t>ljoseph@dssinc.com</t>
  </si>
  <si>
    <t>Josh</t>
  </si>
  <si>
    <t>Quagliaroli</t>
  </si>
  <si>
    <t>jquag@agile6.com</t>
  </si>
  <si>
    <t>Sasa</t>
  </si>
  <si>
    <t>seric@deloitte.com</t>
  </si>
  <si>
    <t>Poulin</t>
  </si>
  <si>
    <t>mike.poulin@hpe.com</t>
  </si>
  <si>
    <t>Brian</t>
  </si>
  <si>
    <t>Glatchak</t>
  </si>
  <si>
    <t>glatchak_brian@bah.com</t>
  </si>
  <si>
    <t>Johnston Williamson</t>
  </si>
  <si>
    <t>Williamson</t>
  </si>
  <si>
    <t>johnston.williamson@gdit.com</t>
  </si>
  <si>
    <t>Debbie</t>
  </si>
  <si>
    <t>Elgot</t>
  </si>
  <si>
    <t>debbie.elgot@pega.com</t>
  </si>
  <si>
    <t>SBG Technology Solutions</t>
  </si>
  <si>
    <t>Farahbakhshian</t>
  </si>
  <si>
    <t>mikef@sbgts.com</t>
  </si>
  <si>
    <t>Pierce`</t>
  </si>
  <si>
    <t>steven.pierce@minburntech.com</t>
  </si>
  <si>
    <t>kevin</t>
  </si>
  <si>
    <t>greene</t>
  </si>
  <si>
    <t>kgreene@ironbow.com</t>
  </si>
  <si>
    <t>Freer</t>
  </si>
  <si>
    <t>eric.freer@sterling.com</t>
  </si>
  <si>
    <t>Travis</t>
  </si>
  <si>
    <t>Gibbons</t>
  </si>
  <si>
    <t>tmgibb@amazon.com</t>
  </si>
  <si>
    <t>Eduardo</t>
  </si>
  <si>
    <t>Maciel</t>
  </si>
  <si>
    <t>emaciel@us.ibm.com</t>
  </si>
  <si>
    <t>Janet</t>
  </si>
  <si>
    <t>Olsen</t>
  </si>
  <si>
    <t>janet.olsen@veteransengineering.net</t>
  </si>
  <si>
    <t>Tom</t>
  </si>
  <si>
    <t>TuckerRose Associates, LLC</t>
  </si>
  <si>
    <t>Reeves</t>
  </si>
  <si>
    <t>greggreeves@tuckerrose.com</t>
  </si>
  <si>
    <t>Sirotzky</t>
  </si>
  <si>
    <t>sherri.sirotzky@us.ibm.com</t>
  </si>
  <si>
    <t>Flatbush</t>
  </si>
  <si>
    <t>john.flatbush@liquidware.com</t>
  </si>
  <si>
    <t>Johnston</t>
  </si>
  <si>
    <t>doug.johnston@closedloop.ai</t>
  </si>
  <si>
    <t>Don</t>
  </si>
  <si>
    <t>Shea</t>
  </si>
  <si>
    <t>don.shea@b3groupinc.com</t>
  </si>
  <si>
    <t>Andrew</t>
  </si>
  <si>
    <t>DeLong</t>
  </si>
  <si>
    <t>andrew.delong@bylight.com</t>
  </si>
  <si>
    <t>Swenarton</t>
  </si>
  <si>
    <t>cs@ferliseassociates.com</t>
  </si>
  <si>
    <t>Martin</t>
  </si>
  <si>
    <t>Mike</t>
  </si>
  <si>
    <t>McCormack</t>
  </si>
  <si>
    <t>mike.mccormack@thoughtworks.com</t>
  </si>
  <si>
    <t>Punaro</t>
  </si>
  <si>
    <t>jpunaro@ironarchtech.com</t>
  </si>
  <si>
    <t>Patrick</t>
  </si>
  <si>
    <t>Hamilton</t>
  </si>
  <si>
    <t>Tania</t>
  </si>
  <si>
    <t>Corona</t>
  </si>
  <si>
    <t>tc557h@att.com</t>
  </si>
  <si>
    <t>Modecki</t>
  </si>
  <si>
    <t>cmodecki@vmware.com</t>
  </si>
  <si>
    <t>Anthony</t>
  </si>
  <si>
    <t>Cordaro</t>
  </si>
  <si>
    <t>anthony.cordaro@pingwind.com</t>
  </si>
  <si>
    <t>Schuler</t>
  </si>
  <si>
    <t>mschuler@varesourcing.com</t>
  </si>
  <si>
    <t>Ronald</t>
  </si>
  <si>
    <t>Cangley</t>
  </si>
  <si>
    <t>ron.cangley@maveris.com</t>
  </si>
  <si>
    <t>Frederick</t>
  </si>
  <si>
    <t>Clinton</t>
  </si>
  <si>
    <t>Lin</t>
  </si>
  <si>
    <t>clin@tgtgllc.com</t>
  </si>
  <si>
    <t>Clark</t>
  </si>
  <si>
    <t>Biren</t>
  </si>
  <si>
    <t>Sahay</t>
  </si>
  <si>
    <t>biren.n.sahay@leidos.com</t>
  </si>
  <si>
    <t>Brennan</t>
  </si>
  <si>
    <t>Chalmers</t>
  </si>
  <si>
    <t>brennan.chalmers@ibm.com</t>
  </si>
  <si>
    <t>Charles</t>
  </si>
  <si>
    <t>Foster</t>
  </si>
  <si>
    <t>cfoster@fordhalltech.com</t>
  </si>
  <si>
    <t>Roger</t>
  </si>
  <si>
    <t>Sam</t>
  </si>
  <si>
    <t>roger.sam@mindcomputing.com</t>
  </si>
  <si>
    <t>Schnitker</t>
  </si>
  <si>
    <t>bryan.schnitker@vetsez.com</t>
  </si>
  <si>
    <t>Bob</t>
  </si>
  <si>
    <t>Rowe</t>
  </si>
  <si>
    <t>bobrowe@bdrsolutionsllc.com</t>
  </si>
  <si>
    <t>Bill</t>
  </si>
  <si>
    <t>bill.hamilton@gartner.com</t>
  </si>
  <si>
    <t>Jonah</t>
  </si>
  <si>
    <t>Czerwinski</t>
  </si>
  <si>
    <t>jonah.czerwinski@thoughtworks.com</t>
  </si>
  <si>
    <t>Matthew</t>
  </si>
  <si>
    <t>George</t>
  </si>
  <si>
    <t>Bouchard</t>
  </si>
  <si>
    <t>mbouchard@andrewmorganconsulting.com</t>
  </si>
  <si>
    <t>McCormick</t>
  </si>
  <si>
    <t>pmccormick@mcnealpro.com</t>
  </si>
  <si>
    <t>Lou</t>
  </si>
  <si>
    <t>Roberts</t>
  </si>
  <si>
    <t>louann.roberts@clearcom.com</t>
  </si>
  <si>
    <t>Ric</t>
  </si>
  <si>
    <t>Holmes</t>
  </si>
  <si>
    <t>hholmes@tistatech.com</t>
  </si>
  <si>
    <t>Brooke</t>
  </si>
  <si>
    <t>Rea</t>
  </si>
  <si>
    <t>brooketrea@gmail.com</t>
  </si>
  <si>
    <t>Kila</t>
  </si>
  <si>
    <t>Thomas</t>
  </si>
  <si>
    <t>kthomas@cftechnologiesllc.com</t>
  </si>
  <si>
    <t>QC</t>
  </si>
  <si>
    <t>qcjones@nolanmac.com</t>
  </si>
  <si>
    <t>Floyd</t>
  </si>
  <si>
    <t>Monica</t>
  </si>
  <si>
    <t>Alan</t>
  </si>
  <si>
    <t>alan.parker@maveris.com</t>
  </si>
  <si>
    <t>Ritter</t>
  </si>
  <si>
    <t>tom.ritter@intevations.com</t>
  </si>
  <si>
    <t>Melissa</t>
  </si>
  <si>
    <t>Tucker</t>
  </si>
  <si>
    <t>melissa.tucker@redriver.com</t>
  </si>
  <si>
    <t>Griffith</t>
  </si>
  <si>
    <t>gary.griffith@protegrity.com</t>
  </si>
  <si>
    <t>Zack</t>
  </si>
  <si>
    <t>David</t>
  </si>
  <si>
    <t>Jeff</t>
  </si>
  <si>
    <t>Knodel</t>
  </si>
  <si>
    <t>Hampton</t>
  </si>
  <si>
    <t>jlhampto@us.ibm.com</t>
  </si>
  <si>
    <t>Maurice</t>
  </si>
  <si>
    <t>Staley</t>
  </si>
  <si>
    <t>maurice.staley@avenirmissionsolutions.com</t>
  </si>
  <si>
    <t>Couch</t>
  </si>
  <si>
    <t>johncouch@banc3.com</t>
  </si>
  <si>
    <t>Jain</t>
  </si>
  <si>
    <t>DSS</t>
  </si>
  <si>
    <t>Fallls</t>
  </si>
  <si>
    <t>rfalls@dssinc.com</t>
  </si>
  <si>
    <t>Gregory</t>
  </si>
  <si>
    <t>Dengler</t>
  </si>
  <si>
    <t>gregory.dengler@softrams.com</t>
  </si>
  <si>
    <t>Shane</t>
  </si>
  <si>
    <t>Meyer</t>
  </si>
  <si>
    <t>shane@redriver.com</t>
  </si>
  <si>
    <t>Burns</t>
  </si>
  <si>
    <t>wburns@technatomy.com</t>
  </si>
  <si>
    <t>john.smith@vetricsgroup.com</t>
  </si>
  <si>
    <t>Bruce</t>
  </si>
  <si>
    <t>Marcey</t>
  </si>
  <si>
    <t>bmarcey@redhat.com</t>
  </si>
  <si>
    <t>Barbara</t>
  </si>
  <si>
    <t>Dempsey</t>
  </si>
  <si>
    <t>bld@ferliseassociates.com</t>
  </si>
  <si>
    <t>Adam</t>
  </si>
  <si>
    <t>adam.peters@mantech.com</t>
  </si>
  <si>
    <t>Woodyard</t>
  </si>
  <si>
    <t>casey.woodyard@maveris.com</t>
  </si>
  <si>
    <t>Cathy</t>
  </si>
  <si>
    <t>Horan</t>
  </si>
  <si>
    <t>choran@vmware.com</t>
  </si>
  <si>
    <t>van der Oord</t>
  </si>
  <si>
    <t>larry@thunderyard.com</t>
  </si>
  <si>
    <t>Ken</t>
  </si>
  <si>
    <t>Arthur</t>
  </si>
  <si>
    <t>karthur@vtleaders.com</t>
  </si>
  <si>
    <t>Ryan</t>
  </si>
  <si>
    <t>Amy</t>
  </si>
  <si>
    <t>Fadida</t>
  </si>
  <si>
    <t>amfadida@att.net</t>
  </si>
  <si>
    <t>Marti</t>
  </si>
  <si>
    <t>Roper</t>
  </si>
  <si>
    <t>marti.roper@trilogyfederal.com</t>
  </si>
  <si>
    <t>Scarcella</t>
  </si>
  <si>
    <t>jscarcella@cogent-2000.com</t>
  </si>
  <si>
    <t>Bagley</t>
  </si>
  <si>
    <t>james.bagley@epscorp.com</t>
  </si>
  <si>
    <t>Sarah</t>
  </si>
  <si>
    <t>Joel</t>
  </si>
  <si>
    <t>Kern</t>
  </si>
  <si>
    <t>jkern@varesourcing.com</t>
  </si>
  <si>
    <t>Murali</t>
  </si>
  <si>
    <t>Dronamraju</t>
  </si>
  <si>
    <t>murali.dronamraju@cerner.com</t>
  </si>
  <si>
    <t>Gunsolus</t>
  </si>
  <si>
    <t>dgunsolus@vmware.com</t>
  </si>
  <si>
    <t>Lauren</t>
  </si>
  <si>
    <t>Wingate</t>
  </si>
  <si>
    <t>lwingate@tjfact.com</t>
  </si>
  <si>
    <t>Christa</t>
  </si>
  <si>
    <t>Carter</t>
  </si>
  <si>
    <t>ccarter@sierra7.com</t>
  </si>
  <si>
    <t>Terry</t>
  </si>
  <si>
    <t>tlin@plan-sys.com</t>
  </si>
  <si>
    <t>Ferlise</t>
  </si>
  <si>
    <t>mrf@ferliseassociates.com</t>
  </si>
  <si>
    <t>Gunjan</t>
  </si>
  <si>
    <t>Vatas</t>
  </si>
  <si>
    <t>gv@gmgarcdata.com</t>
  </si>
  <si>
    <t>Alex</t>
  </si>
  <si>
    <t>Brazell</t>
  </si>
  <si>
    <t>klbrazell@bizflow.com</t>
  </si>
  <si>
    <t>Brooks</t>
  </si>
  <si>
    <t>Rosey</t>
  </si>
  <si>
    <t>rcarter@decisivepoint.net</t>
  </si>
  <si>
    <t>Kyle</t>
  </si>
  <si>
    <t>Mariah</t>
  </si>
  <si>
    <t>Mobley</t>
  </si>
  <si>
    <t>mariah.mobley@aptiveresources.com</t>
  </si>
  <si>
    <t>Hope</t>
  </si>
  <si>
    <t>Janise</t>
  </si>
  <si>
    <t>hope.janise@mobomo.com</t>
  </si>
  <si>
    <t>Liz</t>
  </si>
  <si>
    <t>Bodell</t>
  </si>
  <si>
    <t>lbodell@salesforce.com</t>
  </si>
  <si>
    <t>Jeffrey</t>
  </si>
  <si>
    <t>Downing</t>
  </si>
  <si>
    <t>jeffrey.downing@octo.us</t>
  </si>
  <si>
    <t>Gayle</t>
  </si>
  <si>
    <t>Grasso</t>
  </si>
  <si>
    <t>ggrasso@sierra7.com</t>
  </si>
  <si>
    <t>Natale</t>
  </si>
  <si>
    <t>nataled@vmware.com</t>
  </si>
  <si>
    <t>Snatchko</t>
  </si>
  <si>
    <t>asnatchko@v3gate.com</t>
  </si>
  <si>
    <t>Veronica</t>
  </si>
  <si>
    <t>Malone</t>
  </si>
  <si>
    <t>vmalone@us.ibm.com</t>
  </si>
  <si>
    <t>Hollister</t>
  </si>
  <si>
    <t>matthew.james.hollister@ibm.com</t>
  </si>
  <si>
    <t>Sean</t>
  </si>
  <si>
    <t>Taylor</t>
  </si>
  <si>
    <t>Kaston</t>
  </si>
  <si>
    <t>taylor.kaston@ibm.com</t>
  </si>
  <si>
    <t>Cris</t>
  </si>
  <si>
    <t>Cabingas</t>
  </si>
  <si>
    <t>ccabingas@jctm.us</t>
  </si>
  <si>
    <t>Tony</t>
  </si>
  <si>
    <t>t.jackson@snowflake.com</t>
  </si>
  <si>
    <t>Choe</t>
  </si>
  <si>
    <t>john.choe@trilogyfederal.com</t>
  </si>
  <si>
    <t>Makenna</t>
  </si>
  <si>
    <t>McGrann</t>
  </si>
  <si>
    <t>makenna.mcgrann@raventek.com</t>
  </si>
  <si>
    <t>Crystal</t>
  </si>
  <si>
    <t>Wittman</t>
  </si>
  <si>
    <t>michael.wittman@peraton.com</t>
  </si>
  <si>
    <t>JANUS Research</t>
  </si>
  <si>
    <t>daly</t>
  </si>
  <si>
    <t>jim.daly@janusresearch.com</t>
  </si>
  <si>
    <t>Coleman</t>
  </si>
  <si>
    <t>Schenning</t>
  </si>
  <si>
    <t>cschenning@ironarchtech.com</t>
  </si>
  <si>
    <t>Trusty</t>
  </si>
  <si>
    <t>ztrusty@akamai.com</t>
  </si>
  <si>
    <t>Kendala</t>
  </si>
  <si>
    <t>Fuller</t>
  </si>
  <si>
    <t>kfuller2@civisanalytics.com</t>
  </si>
  <si>
    <t>Teddi</t>
  </si>
  <si>
    <t>Mikula</t>
  </si>
  <si>
    <t>teddimikula@cvpcorp.com</t>
  </si>
  <si>
    <t>Istian</t>
  </si>
  <si>
    <t>Islam</t>
  </si>
  <si>
    <t>istian@hpe.com</t>
  </si>
  <si>
    <t>Nate</t>
  </si>
  <si>
    <t>Allera</t>
  </si>
  <si>
    <t>natejallera@maximus.com</t>
  </si>
  <si>
    <t>Jessica</t>
  </si>
  <si>
    <t>Haefner</t>
  </si>
  <si>
    <t>jhaefner@dssinc.com</t>
  </si>
  <si>
    <t>Angela</t>
  </si>
  <si>
    <t>Banco</t>
  </si>
  <si>
    <t>angela.banco@vetsez.com</t>
  </si>
  <si>
    <t>Gwiazda</t>
  </si>
  <si>
    <t>jgwiazda@mettel.net</t>
  </si>
  <si>
    <t>Lewis</t>
  </si>
  <si>
    <t>Runnion</t>
  </si>
  <si>
    <t>lewis@eleven-09.com</t>
  </si>
  <si>
    <t>Sandoux</t>
  </si>
  <si>
    <t>michael.sandoux@mongodb.com</t>
  </si>
  <si>
    <t>Burney</t>
  </si>
  <si>
    <t>jeff.burney@servicenow.com</t>
  </si>
  <si>
    <t>Connor</t>
  </si>
  <si>
    <t>Crehan</t>
  </si>
  <si>
    <t>connor.crehan@uniteus.com</t>
  </si>
  <si>
    <t>Gavel</t>
  </si>
  <si>
    <t>gavel_christina@bah.com</t>
  </si>
  <si>
    <t>Kelly</t>
  </si>
  <si>
    <t>Gene</t>
  </si>
  <si>
    <t>Levchenko</t>
  </si>
  <si>
    <t>gene.levchenko@glevconsult.com</t>
  </si>
  <si>
    <t>Matthews</t>
  </si>
  <si>
    <t>bmatthews@veracode.com</t>
  </si>
  <si>
    <t>jeddah</t>
  </si>
  <si>
    <t>deloria</t>
  </si>
  <si>
    <t>jeddah.deloria@servicenow.com</t>
  </si>
  <si>
    <t>https://servicenowsignon.okta.com/oauth2/default/v1/authorize?client_id=0oakzlc2t3W1goPqt0x7&amp;response_type=code%20token%20id_token&amp;response_mode=form_post&amp;scope=openid+profile&amp;redirect_uri=https://www.servicenow.com/bin/servicenow/v2/token&amp;state=https://ww</t>
  </si>
  <si>
    <t>Lila</t>
  </si>
  <si>
    <t>Holley</t>
  </si>
  <si>
    <t>lilaholley@gmail.com</t>
  </si>
  <si>
    <t>Deaquelynn</t>
  </si>
  <si>
    <t>Global Health - VA</t>
  </si>
  <si>
    <t>Basgier</t>
  </si>
  <si>
    <t>michael.basgier@peraton.com</t>
  </si>
  <si>
    <t>Downes</t>
  </si>
  <si>
    <t>jack@elvtgovt.io</t>
  </si>
  <si>
    <t>Pratt</t>
  </si>
  <si>
    <t>joshua.pratt@optiv.com</t>
  </si>
  <si>
    <t>Otis</t>
  </si>
  <si>
    <t>Barnes</t>
  </si>
  <si>
    <t>obarnes@sonatype.com</t>
  </si>
  <si>
    <t>jknodekl@paloaltonetworks.com</t>
  </si>
  <si>
    <t>Bertin</t>
  </si>
  <si>
    <t>michael.bertin@thunderyard.com</t>
  </si>
  <si>
    <t>Dick</t>
  </si>
  <si>
    <t>kyle.dick@wwt.com</t>
  </si>
  <si>
    <t>Meghan</t>
  </si>
  <si>
    <t>Foley</t>
  </si>
  <si>
    <t>mfoley@ironarchtech.com</t>
  </si>
  <si>
    <t>Kayley</t>
  </si>
  <si>
    <t>Cerney</t>
  </si>
  <si>
    <t>kcerney@zscaler.com</t>
  </si>
  <si>
    <t>WWT</t>
  </si>
  <si>
    <t>Lloyd</t>
  </si>
  <si>
    <t>david.lloyd@wwt.com</t>
  </si>
  <si>
    <t>Salvaggio</t>
  </si>
  <si>
    <t>msalvaggio@andrewmorganconsulting.com</t>
  </si>
  <si>
    <t>Hauter</t>
  </si>
  <si>
    <t>chris.hauter@datadoghq.com</t>
  </si>
  <si>
    <t>SIERRA7</t>
  </si>
  <si>
    <t>gallagher</t>
  </si>
  <si>
    <t>ggallagher@sierra7.com</t>
  </si>
  <si>
    <t>Felicia</t>
  </si>
  <si>
    <t>Moore</t>
  </si>
  <si>
    <t>felicia.moore@anthem.com</t>
  </si>
  <si>
    <t>Cosentino</t>
  </si>
  <si>
    <t>cosentino@sprezzmc.com</t>
  </si>
  <si>
    <t>Acree</t>
  </si>
  <si>
    <t>alexander.acree@servicenow.com</t>
  </si>
  <si>
    <t>Marc</t>
  </si>
  <si>
    <t>Soss</t>
  </si>
  <si>
    <t>marc.soss@gdit.com</t>
  </si>
  <si>
    <t>Julia</t>
  </si>
  <si>
    <t>Telford</t>
  </si>
  <si>
    <t>julia.telford@va.gov</t>
  </si>
  <si>
    <t>Proffer</t>
  </si>
  <si>
    <t>bill@proffer.org</t>
  </si>
  <si>
    <t>Wasfi</t>
  </si>
  <si>
    <t>Alnabki</t>
  </si>
  <si>
    <t>wasfi.alnabki@bw-thinking.com</t>
  </si>
  <si>
    <t>McGrane</t>
  </si>
  <si>
    <t>cathy.mcgrane@gmail.com</t>
  </si>
  <si>
    <t>Kelley</t>
  </si>
  <si>
    <t>Harar</t>
  </si>
  <si>
    <t>kelley.harar@tmaxgov.com</t>
  </si>
  <si>
    <t>matt.smith@bacgllc.com</t>
  </si>
  <si>
    <t>Denise</t>
  </si>
  <si>
    <t>denise.martin@palmettogbaservices.com</t>
  </si>
  <si>
    <t>Alison</t>
  </si>
  <si>
    <t>Beachman</t>
  </si>
  <si>
    <t>alison.beachman@trilogyfederal.com</t>
  </si>
  <si>
    <t>Scherger</t>
  </si>
  <si>
    <t>tucker.scherger@siemens-healthineers.com</t>
  </si>
  <si>
    <t>Weldon</t>
  </si>
  <si>
    <t>lweldon@lts.com</t>
  </si>
  <si>
    <t>Kearney</t>
  </si>
  <si>
    <t>Erin</t>
  </si>
  <si>
    <t>Edward</t>
  </si>
  <si>
    <t>Armstrong</t>
  </si>
  <si>
    <t>edward.armstrong@va.gov</t>
  </si>
  <si>
    <t>Gaus</t>
  </si>
  <si>
    <t>scott.gaus@servicenow.com</t>
  </si>
  <si>
    <t>RICHARD</t>
  </si>
  <si>
    <t>JEFFRIES</t>
  </si>
  <si>
    <t>rjeffries@graceandassociates.com</t>
  </si>
  <si>
    <t>Nancy</t>
  </si>
  <si>
    <t>Van Balen</t>
  </si>
  <si>
    <t>nvanbalen@9th-way.com</t>
  </si>
  <si>
    <t>Lucy</t>
  </si>
  <si>
    <t>lucy.martin@pingwind.com</t>
  </si>
  <si>
    <t>lisa</t>
  </si>
  <si>
    <t>stokoe</t>
  </si>
  <si>
    <t>lstokoe@dssinc.com</t>
  </si>
  <si>
    <t>Lynch</t>
  </si>
  <si>
    <t>don.lynch@ascom.com</t>
  </si>
  <si>
    <t>joe.bush@avasure.com</t>
  </si>
  <si>
    <t>Sharon</t>
  </si>
  <si>
    <t>Fernandes</t>
  </si>
  <si>
    <t>fernandes_sharon@bah.com</t>
  </si>
  <si>
    <t>Sarah Abdow</t>
  </si>
  <si>
    <t>Abdow</t>
  </si>
  <si>
    <t>sarah.abdow@gdit.com</t>
  </si>
  <si>
    <t>Raj</t>
  </si>
  <si>
    <t>Mayur</t>
  </si>
  <si>
    <t>raj.mayur@cwconsulting.us</t>
  </si>
  <si>
    <t>Scanlon</t>
  </si>
  <si>
    <t>mscan@amazon.com</t>
  </si>
  <si>
    <t>Mikuliak</t>
  </si>
  <si>
    <t>alex.mikuliak@aptiveresources.com</t>
  </si>
  <si>
    <t>Trish</t>
  </si>
  <si>
    <t>MacDonald</t>
  </si>
  <si>
    <t>trish@blackbranch.com</t>
  </si>
  <si>
    <t>adam.jones@inodeink.com</t>
  </si>
  <si>
    <t>Denman</t>
  </si>
  <si>
    <t>jessica.l.denman@saic.com</t>
  </si>
  <si>
    <t>Staab</t>
  </si>
  <si>
    <t>mstaab@ficonsulting.com</t>
  </si>
  <si>
    <t>Danielle</t>
  </si>
  <si>
    <t>Winthrop</t>
  </si>
  <si>
    <t>monica.winthrop@cgifederal.com</t>
  </si>
  <si>
    <t>Julie</t>
  </si>
  <si>
    <t>DeMarco</t>
  </si>
  <si>
    <t>julie.demarco@lumen.com</t>
  </si>
  <si>
    <t>McCall</t>
  </si>
  <si>
    <t>beth.mccall@calibresys.com</t>
  </si>
  <si>
    <t>erin.foster@savvee.biz</t>
  </si>
  <si>
    <t>pam</t>
  </si>
  <si>
    <t>carpenter</t>
  </si>
  <si>
    <t>pcarpent@adobe.com</t>
  </si>
  <si>
    <t>Gerald</t>
  </si>
  <si>
    <t>Secody</t>
  </si>
  <si>
    <t>gerald.secody@ddc-its.com</t>
  </si>
  <si>
    <t>Luke</t>
  </si>
  <si>
    <t>Ceban</t>
  </si>
  <si>
    <t>diana.ceban@saic.com</t>
  </si>
  <si>
    <t>Kimberly</t>
  </si>
  <si>
    <t>Mingo</t>
  </si>
  <si>
    <t>kimberly.mingo@philips.com</t>
  </si>
  <si>
    <t>Geppert</t>
  </si>
  <si>
    <t>geppertj@battelle.org</t>
  </si>
  <si>
    <t>Tsai</t>
  </si>
  <si>
    <t>atsai@dssinc.com</t>
  </si>
  <si>
    <t>carlton.foote@acuityinternational.com</t>
  </si>
  <si>
    <t>ckim@bdrsolutionsllc.com</t>
  </si>
  <si>
    <t>Jerry</t>
  </si>
  <si>
    <t>Bennett</t>
  </si>
  <si>
    <t>jerry.bennett@privateerit.com</t>
  </si>
  <si>
    <t>Lisa</t>
  </si>
  <si>
    <t>smithc@seventhsenseconsulting.com</t>
  </si>
  <si>
    <t>Anastasia</t>
  </si>
  <si>
    <t>Henry</t>
  </si>
  <si>
    <t>anastasia.henry@maveris.com</t>
  </si>
  <si>
    <t>Vito</t>
  </si>
  <si>
    <t>steven.vito@bofva.com</t>
  </si>
  <si>
    <t>Bailey</t>
  </si>
  <si>
    <t>Hartmeyer</t>
  </si>
  <si>
    <t>bh1652@att.com</t>
  </si>
  <si>
    <t>Luis</t>
  </si>
  <si>
    <t>Vallin</t>
  </si>
  <si>
    <t>luis.vallin@va.gov</t>
  </si>
  <si>
    <t>Ivan</t>
  </si>
  <si>
    <t>Wu</t>
  </si>
  <si>
    <t>ivan.wu@tanium.com</t>
  </si>
  <si>
    <t>skelly@cftechnologiesllc.com</t>
  </si>
  <si>
    <t>Stacey</t>
  </si>
  <si>
    <t>Donald</t>
  </si>
  <si>
    <t>stacey.donald@ecstech.com</t>
  </si>
  <si>
    <t>lthomas@cognitivemedicine.com</t>
  </si>
  <si>
    <t>joseph.kearney@octo.us</t>
  </si>
  <si>
    <t>theresaly520@gmail.com</t>
  </si>
  <si>
    <t>michael.clark@kaizenapproach.com</t>
  </si>
  <si>
    <t>Kathryn</t>
  </si>
  <si>
    <t>Schmitt</t>
  </si>
  <si>
    <t>kathryn.schmitt2@va.gov</t>
  </si>
  <si>
    <t>Cohen</t>
  </si>
  <si>
    <t>Patty</t>
  </si>
  <si>
    <t>Molthen</t>
  </si>
  <si>
    <t>pmolthen@cm2grp.com</t>
  </si>
  <si>
    <t>Paul</t>
  </si>
  <si>
    <t>Parrell</t>
  </si>
  <si>
    <t>paul.parrell@cgifederal.com</t>
  </si>
  <si>
    <t>Jo Carol</t>
  </si>
  <si>
    <t>Torrez</t>
  </si>
  <si>
    <t>jtorrez@lts.com</t>
  </si>
  <si>
    <t>Jenifer</t>
  </si>
  <si>
    <t>jenifer.floyd@b3groupinc.com</t>
  </si>
  <si>
    <t>sean.jones@srgadaptive.com</t>
  </si>
  <si>
    <t>john6186@hotmail.com</t>
  </si>
  <si>
    <t>Shannon</t>
  </si>
  <si>
    <t>Billik</t>
  </si>
  <si>
    <t>sbillik@4points.com</t>
  </si>
  <si>
    <t>Amissah</t>
  </si>
  <si>
    <t>ekamissah@aac-tech.com</t>
  </si>
  <si>
    <t>Wenzler</t>
  </si>
  <si>
    <t>brian.wenzler@mpoweredstrategies.com</t>
  </si>
  <si>
    <t>Utt</t>
  </si>
  <si>
    <t>brandon@mks2.com</t>
  </si>
  <si>
    <t>rk0504@att.net</t>
  </si>
  <si>
    <t>Alexandra</t>
  </si>
  <si>
    <t>Haines</t>
  </si>
  <si>
    <t>ahaines@purestorage.com</t>
  </si>
  <si>
    <t>Weston</t>
  </si>
  <si>
    <t>Takata</t>
  </si>
  <si>
    <t>weston.takata@govcio.com</t>
  </si>
  <si>
    <t>Ibarra</t>
  </si>
  <si>
    <t>luis.ibarra@pingwind.com</t>
  </si>
  <si>
    <t>Greenbrier Government Solutions,</t>
  </si>
  <si>
    <t>Shell</t>
  </si>
  <si>
    <t>nshell@ggswv.com</t>
  </si>
  <si>
    <t>Keith</t>
  </si>
  <si>
    <t>Feldmann</t>
  </si>
  <si>
    <t>kathryn_feldmann@mckinsey.com</t>
  </si>
  <si>
    <t>Darcy</t>
  </si>
  <si>
    <t>Ziegler</t>
  </si>
  <si>
    <t>dziegler@ironarchtech.com</t>
  </si>
  <si>
    <t>Wallace</t>
  </si>
  <si>
    <t>gwallace@bizflow.com</t>
  </si>
  <si>
    <t>Dharmapal</t>
  </si>
  <si>
    <t>raj.dharmapal@lnssi.com</t>
  </si>
  <si>
    <t>Erica</t>
  </si>
  <si>
    <t>Efe</t>
  </si>
  <si>
    <t>Lind</t>
  </si>
  <si>
    <t>efe.lind@pingwind.com</t>
  </si>
  <si>
    <t>Dunlap</t>
  </si>
  <si>
    <t>kdunlap@eecomputing.com</t>
  </si>
  <si>
    <t>Aimee</t>
  </si>
  <si>
    <t>Seashell</t>
  </si>
  <si>
    <t>aiorio@oxleyenterprises.com</t>
  </si>
  <si>
    <t>Iskander</t>
  </si>
  <si>
    <t>DuFon</t>
  </si>
  <si>
    <t>jdufon@graceandassociates.com</t>
  </si>
  <si>
    <t>Ned</t>
  </si>
  <si>
    <t>Struzziero</t>
  </si>
  <si>
    <t>nstruzziero@sprezzmc.com</t>
  </si>
  <si>
    <t>jacklyn</t>
  </si>
  <si>
    <t>wynn</t>
  </si>
  <si>
    <t>jacklyn.wynn@gdit.com</t>
  </si>
  <si>
    <t>Jimmy</t>
  </si>
  <si>
    <t>jimmytucker@tuckerrose.com</t>
  </si>
  <si>
    <t>Vincent</t>
  </si>
  <si>
    <t>Procaccino</t>
  </si>
  <si>
    <t>vprocaccino@tditek.com</t>
  </si>
  <si>
    <t>Kamani</t>
  </si>
  <si>
    <t>Jefferson</t>
  </si>
  <si>
    <t>kjefferson@hirevue.com</t>
  </si>
  <si>
    <t>Micciantuono</t>
  </si>
  <si>
    <t>daniellem@microsoft.com</t>
  </si>
  <si>
    <t>Obi</t>
  </si>
  <si>
    <t>Nnoli</t>
  </si>
  <si>
    <t>onnoli@sorangroup.com</t>
  </si>
  <si>
    <t>Ron</t>
  </si>
  <si>
    <t>Oklewicz</t>
  </si>
  <si>
    <t>rono@iroar.com</t>
  </si>
  <si>
    <t>nitin@innovethealth.com</t>
  </si>
  <si>
    <t>Partney</t>
  </si>
  <si>
    <t>jerry.partney@emkeysolutions.com</t>
  </si>
  <si>
    <t>sangeetha</t>
  </si>
  <si>
    <t>Tharmarajah</t>
  </si>
  <si>
    <t>sangeetha_tharmarajah@mckinsey.com</t>
  </si>
  <si>
    <t>tom@michelliassociates.com</t>
  </si>
  <si>
    <t>Anna</t>
  </si>
  <si>
    <t>Khizhnyak</t>
  </si>
  <si>
    <t>anna.khizhnyak@mantech.com</t>
  </si>
  <si>
    <t>Perry</t>
  </si>
  <si>
    <t>Townsend</t>
  </si>
  <si>
    <t>ptownsend@trustedqa.com</t>
  </si>
  <si>
    <t>Cradlin</t>
  </si>
  <si>
    <t>david.cradlin@b3groupinc.com</t>
  </si>
  <si>
    <t>Francisco</t>
  </si>
  <si>
    <t>Dominicci</t>
  </si>
  <si>
    <t>francisco.dominicci@beatllc.com</t>
  </si>
  <si>
    <t>Katie</t>
  </si>
  <si>
    <t>Webb</t>
  </si>
  <si>
    <t>katie.webb2@ibm.com</t>
  </si>
  <si>
    <t>Adobe Systems Federal LLC</t>
  </si>
  <si>
    <t>Wenner</t>
  </si>
  <si>
    <t>wenner@adobe.com</t>
  </si>
  <si>
    <t>Gfrerer</t>
  </si>
  <si>
    <t>james.gfrerer@federalbiz.com</t>
  </si>
  <si>
    <t>patricia.iskander@pega.com</t>
  </si>
  <si>
    <t>Stephanie</t>
  </si>
  <si>
    <t>Love</t>
  </si>
  <si>
    <t>stephanie.love@gcio.com</t>
  </si>
  <si>
    <t>Dave</t>
  </si>
  <si>
    <t>Lozon</t>
  </si>
  <si>
    <t>d.lozon@jemtechgroup.com</t>
  </si>
  <si>
    <t>Jason</t>
  </si>
  <si>
    <t>Goldberg</t>
  </si>
  <si>
    <t>jgoldberg@4points.com</t>
  </si>
  <si>
    <t>Natalie</t>
  </si>
  <si>
    <t>Andersen</t>
  </si>
  <si>
    <t>natalie.andersen@integrestech.com</t>
  </si>
  <si>
    <t>Jose</t>
  </si>
  <si>
    <t>Jimenez</t>
  </si>
  <si>
    <t>jose.a.jimenez@ibm.com</t>
  </si>
  <si>
    <t>Kinsman</t>
  </si>
  <si>
    <t>nkinsman@epochconcepts.com</t>
  </si>
  <si>
    <t>Marcus</t>
  </si>
  <si>
    <t>Jerido</t>
  </si>
  <si>
    <t>mjerido@ccg-al.com</t>
  </si>
  <si>
    <t>Philip</t>
  </si>
  <si>
    <t>Dietz</t>
  </si>
  <si>
    <t>philip.dietz@cognosante.com</t>
  </si>
  <si>
    <t>Heit</t>
  </si>
  <si>
    <t>mheit@purestorage.com</t>
  </si>
  <si>
    <t>jhenry@akamai.com</t>
  </si>
  <si>
    <t>Denis</t>
  </si>
  <si>
    <t>denis.lynch@mbltechnologies.com</t>
  </si>
  <si>
    <t>Emily</t>
  </si>
  <si>
    <t>Young</t>
  </si>
  <si>
    <t>emily.young@beatllc.com</t>
  </si>
  <si>
    <t>Melinda</t>
  </si>
  <si>
    <t>Pitchford</t>
  </si>
  <si>
    <t>mpitchford@dssinc.com</t>
  </si>
  <si>
    <t>Millett</t>
  </si>
  <si>
    <t>michael.millett@cgifederal.com</t>
  </si>
  <si>
    <t>Sloan</t>
  </si>
  <si>
    <t>Rueter</t>
  </si>
  <si>
    <t>sloan@amida.com</t>
  </si>
  <si>
    <t>IBM</t>
  </si>
  <si>
    <t>Zhang</t>
  </si>
  <si>
    <t>ezhang@us.ibm.com</t>
  </si>
  <si>
    <t>Tammy</t>
  </si>
  <si>
    <t>Janorske</t>
  </si>
  <si>
    <t>tammy.janorske@pega.com</t>
  </si>
  <si>
    <t>kyle.brooks@appian.com</t>
  </si>
  <si>
    <t>Hardwick</t>
  </si>
  <si>
    <t>steven.hardwick@cgi.com</t>
  </si>
  <si>
    <t>Sites</t>
  </si>
  <si>
    <t>msites@sierra7.com</t>
  </si>
  <si>
    <t>linda</t>
  </si>
  <si>
    <t>johnston</t>
  </si>
  <si>
    <t>lindajohnston5@comcast.net</t>
  </si>
  <si>
    <t>Dougherty</t>
  </si>
  <si>
    <t>david.dougherty@prosphere.com</t>
  </si>
  <si>
    <t>Todd</t>
  </si>
  <si>
    <t>Van Haaren</t>
  </si>
  <si>
    <t>tvanhaaren@deloitte.com</t>
  </si>
  <si>
    <t>Tereschuk</t>
  </si>
  <si>
    <t>gbt@ferliseassociates.com</t>
  </si>
  <si>
    <t>Basile</t>
  </si>
  <si>
    <t>dbasile@decisivepoint.net</t>
  </si>
  <si>
    <t>Blake</t>
  </si>
  <si>
    <t>Badolato</t>
  </si>
  <si>
    <t>blakeba@microsoft.com</t>
  </si>
  <si>
    <t>Cahillane</t>
  </si>
  <si>
    <t>william@bugcrowd.com</t>
  </si>
  <si>
    <t>Stone</t>
  </si>
  <si>
    <t>bryan.stone@uniteus.com</t>
  </si>
  <si>
    <t>Estes</t>
  </si>
  <si>
    <t>kenneth.estes@wwt.com</t>
  </si>
  <si>
    <t>Moser</t>
  </si>
  <si>
    <t>pmoser@fortinet.com</t>
  </si>
  <si>
    <t>Erik</t>
  </si>
  <si>
    <t>Threet</t>
  </si>
  <si>
    <t>ethreet@vtleaders.com</t>
  </si>
  <si>
    <t>Dev</t>
  </si>
  <si>
    <t>Kalyan</t>
  </si>
  <si>
    <t>dev@vandanam-llc.com</t>
  </si>
  <si>
    <t>Dr. Nicole</t>
  </si>
  <si>
    <t>Oxley</t>
  </si>
  <si>
    <t>droxley@oxleyenterprises.com</t>
  </si>
  <si>
    <t>Berkowitz</t>
  </si>
  <si>
    <t>christina.berkowitz@gartner.com</t>
  </si>
  <si>
    <t>Marisse</t>
  </si>
  <si>
    <t>Rovira</t>
  </si>
  <si>
    <t>mrovira@guidehouse.com</t>
  </si>
  <si>
    <t>White</t>
  </si>
  <si>
    <t>kyle@eleven-09.com</t>
  </si>
  <si>
    <t>WILLIAM</t>
  </si>
  <si>
    <t>HOOVER</t>
  </si>
  <si>
    <t>whoover@hooverenterprises.com</t>
  </si>
  <si>
    <t>Vogel</t>
  </si>
  <si>
    <t>michael.vogel@mail.peraton.com</t>
  </si>
  <si>
    <t>Ambrosh</t>
  </si>
  <si>
    <t>jerry.ambrosh@saic.com</t>
  </si>
  <si>
    <t>Skoletsky</t>
  </si>
  <si>
    <t>bskoletsky@mettel.net</t>
  </si>
  <si>
    <t>Rebekah</t>
  </si>
  <si>
    <t>Chong</t>
  </si>
  <si>
    <t>rchong@plan-sys.com</t>
  </si>
  <si>
    <t>Katrina</t>
  </si>
  <si>
    <t>Tuisamatatele</t>
  </si>
  <si>
    <t>katrina.tuisamatatele@halfaker.com</t>
  </si>
  <si>
    <t>Maynard</t>
  </si>
  <si>
    <t>nmaynard@dynamictelecom.com</t>
  </si>
  <si>
    <t>Dolegiewitz</t>
  </si>
  <si>
    <t>trish.molina@rho-inc.com</t>
  </si>
  <si>
    <t>Lydia</t>
  </si>
  <si>
    <t>Starry</t>
  </si>
  <si>
    <t>lydia@starrycomplianceadvisors.com</t>
  </si>
  <si>
    <t>Namvar</t>
  </si>
  <si>
    <t>mike.namvar@accenturefederal.com</t>
  </si>
  <si>
    <t>Kendra</t>
  </si>
  <si>
    <t>Jenkins</t>
  </si>
  <si>
    <t>kjenkins@ccg-al.com</t>
  </si>
  <si>
    <t>dwilliams@ccg-al.com</t>
  </si>
  <si>
    <t>Henson</t>
  </si>
  <si>
    <t>phenson@vmware.com</t>
  </si>
  <si>
    <t>Kip</t>
  </si>
  <si>
    <t>Downer</t>
  </si>
  <si>
    <t>kip.downer@nutanix.com</t>
  </si>
  <si>
    <t>Scarpiello</t>
  </si>
  <si>
    <t>jeffreyscarpiello@maximus.com</t>
  </si>
  <si>
    <t>a Depaz</t>
  </si>
  <si>
    <t>deanadepaz43@gmail.com</t>
  </si>
  <si>
    <t>Kreutz</t>
  </si>
  <si>
    <t>mkreutz@paragonmicro.com</t>
  </si>
  <si>
    <t>Kristin</t>
  </si>
  <si>
    <t>kwilliams@beyondtrust.com</t>
  </si>
  <si>
    <t>Ingram</t>
  </si>
  <si>
    <t>lauren.ingram@maveris.com</t>
  </si>
  <si>
    <t>Tierney</t>
  </si>
  <si>
    <t>jennys@abbtech.com</t>
  </si>
  <si>
    <t>Angelus</t>
  </si>
  <si>
    <t>david.angelus@adhocteam.us</t>
  </si>
  <si>
    <t>McBride</t>
  </si>
  <si>
    <t>mcbridej@us.ibm.com</t>
  </si>
  <si>
    <t>Fannin</t>
  </si>
  <si>
    <t>melissa.fannin@anthem.com</t>
  </si>
  <si>
    <t>Herlihy</t>
  </si>
  <si>
    <t>dherlihy@sierra7.com</t>
  </si>
  <si>
    <t>Igor</t>
  </si>
  <si>
    <t>Krutyanskiy</t>
  </si>
  <si>
    <t>igor.krutyanskiy@rho-inc.com</t>
  </si>
  <si>
    <t>rallace@aol.com</t>
  </si>
  <si>
    <t>Sid</t>
  </si>
  <si>
    <t>Getz</t>
  </si>
  <si>
    <t>sid.getz@cgifederal.com</t>
  </si>
  <si>
    <t>Shon</t>
  </si>
  <si>
    <t>shon@aesolutions-llc.com</t>
  </si>
  <si>
    <t>ktaylor@2ndwavellc.com</t>
  </si>
  <si>
    <t>sherri.meyer@tatcs.com</t>
  </si>
  <si>
    <t>andrew.cohen@cgifederal.com</t>
  </si>
  <si>
    <t>Ludwig</t>
  </si>
  <si>
    <t>ludwig_ryan@bah.com</t>
  </si>
  <si>
    <t>sjones@decisivepoint.net</t>
  </si>
  <si>
    <t>McCardell</t>
  </si>
  <si>
    <t>nathan.mccardell@cgifederal.com</t>
  </si>
  <si>
    <t>Brendon</t>
  </si>
  <si>
    <t>Kruk</t>
  </si>
  <si>
    <t>brendon.kruk@mattermost.com</t>
  </si>
  <si>
    <t>richard.michael@mdc-llc.com</t>
  </si>
  <si>
    <t>Shawn</t>
  </si>
  <si>
    <t>Annandale</t>
  </si>
  <si>
    <t>sannandale@c-cat.com</t>
  </si>
  <si>
    <t>Mellott</t>
  </si>
  <si>
    <t>mark.mellott@mellottassociates.com</t>
  </si>
  <si>
    <t>Rinehart</t>
  </si>
  <si>
    <t>james@rinocom.net</t>
  </si>
  <si>
    <t>Britton</t>
  </si>
  <si>
    <t>melissa.britton@bracari.com</t>
  </si>
  <si>
    <t>Daisy</t>
  </si>
  <si>
    <t>Thornton</t>
  </si>
  <si>
    <t>dthornton@federalnewsnetwork.com</t>
  </si>
  <si>
    <t>Tong</t>
  </si>
  <si>
    <t>jtong@bdrsolutionsllc.com</t>
  </si>
  <si>
    <t>Marcinko</t>
  </si>
  <si>
    <t>sarah.marcinko@va.gov</t>
  </si>
  <si>
    <t>Dowdle</t>
  </si>
  <si>
    <t>sdowdle@lts.com</t>
  </si>
  <si>
    <t>Scamurra</t>
  </si>
  <si>
    <t>tscamurra@splunk.com</t>
  </si>
  <si>
    <t>Carl</t>
  </si>
  <si>
    <t>Neidhardt</t>
  </si>
  <si>
    <t>carln@carlntech.com</t>
  </si>
  <si>
    <t>Chandler</t>
  </si>
  <si>
    <t>fredchandler@tuckerrose.com</t>
  </si>
  <si>
    <t>Cherish</t>
  </si>
  <si>
    <t>Long</t>
  </si>
  <si>
    <t>cherish.long.ctr@beatllc.com</t>
  </si>
  <si>
    <t>LTS</t>
  </si>
  <si>
    <t>Ellis</t>
  </si>
  <si>
    <t>dellis@lts.com</t>
  </si>
  <si>
    <t>Felten</t>
  </si>
  <si>
    <t>tfelten@sbgts.com</t>
  </si>
  <si>
    <t>erica.scott@sghealthit.com</t>
  </si>
  <si>
    <t>Willenbucher</t>
  </si>
  <si>
    <t>swillenbucher@sbgts.com</t>
  </si>
  <si>
    <t>Shelby</t>
  </si>
  <si>
    <t>Pledger</t>
  </si>
  <si>
    <t>spledger@amgtgroup.com</t>
  </si>
  <si>
    <t>Wilma</t>
  </si>
  <si>
    <t>Killgo</t>
  </si>
  <si>
    <t>wilma.killgo@moserit.com</t>
  </si>
  <si>
    <t>Dhani</t>
  </si>
  <si>
    <t>Ramadhani</t>
  </si>
  <si>
    <t>dhani.ramadhani@govcio.com</t>
  </si>
  <si>
    <t>Melody</t>
  </si>
  <si>
    <t>mpatrick@civisanalytics.com</t>
  </si>
  <si>
    <t>Bobbie</t>
  </si>
  <si>
    <t>bestpracticemanagementllc@gmail.com</t>
  </si>
  <si>
    <t>patrick.smith@simulationiq.com</t>
  </si>
  <si>
    <t>mike.mccormick@leidos.com</t>
  </si>
  <si>
    <t>ManTech</t>
  </si>
  <si>
    <t>Melvin</t>
  </si>
  <si>
    <t>carolyn.melvin@mantech.com</t>
  </si>
  <si>
    <t>Le</t>
  </si>
  <si>
    <t>kle@bizflow.com</t>
  </si>
  <si>
    <t>Brayden</t>
  </si>
  <si>
    <t>Jarnagin</t>
  </si>
  <si>
    <t>brayden@expansiagroup.com</t>
  </si>
  <si>
    <t>Johnny</t>
  </si>
  <si>
    <t>Khan</t>
  </si>
  <si>
    <t>johnny.khan@avilamb.com</t>
  </si>
  <si>
    <t>Pope</t>
  </si>
  <si>
    <t>nathan.pope@vetsez.com</t>
  </si>
  <si>
    <t>zCore Group</t>
  </si>
  <si>
    <t>Zenteno</t>
  </si>
  <si>
    <t>ezenteno@zcoregroup.com</t>
  </si>
  <si>
    <t>Richardson</t>
  </si>
  <si>
    <t>Craig</t>
  </si>
  <si>
    <t>craig.jones@palmettogbaservices.com</t>
  </si>
  <si>
    <t>Tara</t>
  </si>
  <si>
    <t>tara.richardson@tmf.org</t>
  </si>
  <si>
    <t>Jeevan</t>
  </si>
  <si>
    <t>jeevan@pocketmd.ca</t>
  </si>
  <si>
    <t>Angie</t>
  </si>
  <si>
    <t>Campbell</t>
  </si>
  <si>
    <t>angie.campbell@pingwind.com</t>
  </si>
  <si>
    <t>Killian</t>
  </si>
  <si>
    <t>McNeely</t>
  </si>
  <si>
    <t>killian.mcneely@emdstrategies.com</t>
  </si>
  <si>
    <t>Cox</t>
  </si>
  <si>
    <t>timothy.cox@govcio.com</t>
  </si>
  <si>
    <t>Lanier</t>
  </si>
  <si>
    <t>mlanier@redhat.com</t>
  </si>
  <si>
    <t>Judith</t>
  </si>
  <si>
    <t>Rokoszak</t>
  </si>
  <si>
    <t>rokoszak_judy@bah.com</t>
  </si>
  <si>
    <t>Clough</t>
  </si>
  <si>
    <t>chris.clough@optum.com</t>
  </si>
  <si>
    <t>Kenneth</t>
  </si>
  <si>
    <t>kenneth.adams@newwave.io</t>
  </si>
  <si>
    <t>Tompkins-Brown</t>
  </si>
  <si>
    <t>ltb@tenacity-solutions.com</t>
  </si>
  <si>
    <t>Holcomb</t>
  </si>
  <si>
    <t>michael.holcomb@bvti.com</t>
  </si>
  <si>
    <t>jeff.smith@disconsulting.com</t>
  </si>
  <si>
    <t>Monarch Medical Tech</t>
  </si>
  <si>
    <t>Cannizzo</t>
  </si>
  <si>
    <t>carol.cannizzo@monarchmedtech.com</t>
  </si>
  <si>
    <t>Wasilewski</t>
  </si>
  <si>
    <t>twasilewski@c6iservices.com</t>
  </si>
  <si>
    <t>Augusti</t>
  </si>
  <si>
    <t>michael.augusti@ascom.com</t>
  </si>
  <si>
    <t>bill.james@federalbiz.com</t>
  </si>
  <si>
    <t>Krista</t>
  </si>
  <si>
    <t>Kaminski</t>
  </si>
  <si>
    <t>krista@dynamictelecom.com</t>
  </si>
  <si>
    <t>jim.bailey@issmgmt.com</t>
  </si>
  <si>
    <t>Vill</t>
  </si>
  <si>
    <t>james.vill@systek.com</t>
  </si>
  <si>
    <t>Ginsburg</t>
  </si>
  <si>
    <t>ginsburg@amazon.com</t>
  </si>
  <si>
    <t>Espinal</t>
  </si>
  <si>
    <t>steven.espinal@wediditconsulting.com</t>
  </si>
  <si>
    <t>Tripp</t>
  </si>
  <si>
    <t>Person</t>
  </si>
  <si>
    <t>tripp.person@gartner.com</t>
  </si>
  <si>
    <t>Company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</si>
</sst>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7" fontId="0" fillId="0" borderId="0" xfId="0" applyNumberFormat="1"/>
    <xf numFmtId="0" fontId="18" fillId="0" borderId="0" xfId="0" applyFon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7"/>
  <sheetViews>
    <sheetView tabSelected="1" workbookViewId="0">
      <selection activeCell="D430" sqref="D430"/>
    </sheetView>
  </sheetViews>
  <sheetFormatPr defaultRowHeight="14.5" x14ac:dyDescent="0.35"/>
  <cols>
    <col min="1" max="1" width="12.1796875" customWidth="1"/>
    <col min="2" max="2" width="19.1796875" customWidth="1"/>
    <col min="3" max="3" width="39.453125" bestFit="1" customWidth="1"/>
    <col min="4" max="4" width="47.453125" bestFit="1" customWidth="1"/>
    <col min="5" max="5" width="22.6328125" bestFit="1" customWidth="1"/>
    <col min="6" max="6" width="62.36328125" bestFit="1" customWidth="1"/>
    <col min="7" max="7" width="16.36328125" bestFit="1" customWidth="1"/>
    <col min="8" max="8" width="35.453125" bestFit="1" customWidth="1"/>
    <col min="10" max="10" width="17.36328125" bestFit="1" customWidth="1"/>
    <col min="11" max="11" width="21.36328125" bestFit="1" customWidth="1"/>
    <col min="12" max="12" width="17.08984375" bestFit="1" customWidth="1"/>
    <col min="13" max="13" width="38.81640625" customWidth="1"/>
    <col min="14" max="14" width="42.36328125" customWidth="1"/>
  </cols>
  <sheetData>
    <row r="1" spans="1:14" x14ac:dyDescent="0.35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1115</v>
      </c>
      <c r="N1" s="3" t="s">
        <v>12</v>
      </c>
    </row>
    <row r="2" spans="1:14" x14ac:dyDescent="0.35">
      <c r="A2" t="s">
        <v>959</v>
      </c>
      <c r="B2" t="s">
        <v>156</v>
      </c>
      <c r="C2" s="2" t="s">
        <v>960</v>
      </c>
      <c r="D2" t="str">
        <f>"Director of Sales"</f>
        <v>Director of Sales</v>
      </c>
      <c r="E2" s="1"/>
      <c r="F2" t="str">
        <f>"Deana A DePaz"</f>
        <v>Deana A DePaz</v>
      </c>
      <c r="G2" t="str">
        <f>"1-7327661603"</f>
        <v>1-7327661603</v>
      </c>
      <c r="H2" t="str">
        <f>"507 Omni Drive"</f>
        <v>507 Omni Drive</v>
      </c>
      <c r="I2" t="str">
        <f>"  "</f>
        <v xml:space="preserve">  </v>
      </c>
      <c r="J2" t="str">
        <f>"Hillsborough"</f>
        <v>Hillsborough</v>
      </c>
      <c r="K2" t="str">
        <f>"NJ"</f>
        <v>NJ</v>
      </c>
      <c r="L2" t="str">
        <f>"08844"</f>
        <v>08844</v>
      </c>
      <c r="M2" t="str">
        <f>"Small Business"</f>
        <v>Small Business</v>
      </c>
      <c r="N2" t="str">
        <f>"www.rho-inc.com"</f>
        <v>www.rho-inc.com</v>
      </c>
    </row>
    <row r="3" spans="1:14" x14ac:dyDescent="0.35">
      <c r="A3" t="s">
        <v>655</v>
      </c>
      <c r="B3" t="s">
        <v>654</v>
      </c>
      <c r="C3" s="2" t="s">
        <v>656</v>
      </c>
      <c r="D3" t="str">
        <f>"Director"</f>
        <v>Director</v>
      </c>
      <c r="E3" t="s">
        <v>23</v>
      </c>
      <c r="F3" t="str">
        <f>"GDIT"</f>
        <v>GDIT</v>
      </c>
      <c r="G3" t="str">
        <f>"1-17037313391"</f>
        <v>1-17037313391</v>
      </c>
      <c r="H3" t="str">
        <f>"3150 Fairview Parkway"</f>
        <v>3150 Fairview Parkway</v>
      </c>
      <c r="I3" t="str">
        <f>"7th Floor"</f>
        <v>7th Floor</v>
      </c>
      <c r="J3" t="str">
        <f>"Falls Church"</f>
        <v>Falls Church</v>
      </c>
      <c r="K3" t="str">
        <f>"VA"</f>
        <v>VA</v>
      </c>
      <c r="L3" t="str">
        <f>"22043"</f>
        <v>22043</v>
      </c>
      <c r="M3" t="str">
        <f>"Large Business"</f>
        <v>Large Business</v>
      </c>
      <c r="N3" t="str">
        <f>"www.gdit.com"</f>
        <v>www.gdit.com</v>
      </c>
    </row>
    <row r="4" spans="1:14" x14ac:dyDescent="0.35">
      <c r="A4" t="s">
        <v>602</v>
      </c>
      <c r="B4" t="s">
        <v>28</v>
      </c>
      <c r="C4" s="2" t="s">
        <v>603</v>
      </c>
      <c r="D4" t="str">
        <f>"AE VA"</f>
        <v>AE VA</v>
      </c>
      <c r="E4" s="1"/>
      <c r="F4" t="str">
        <f>"ServiceNOw"</f>
        <v>ServiceNOw</v>
      </c>
      <c r="G4" t="str">
        <f>"1-4102929203"</f>
        <v>1-4102929203</v>
      </c>
      <c r="H4" t="str">
        <f>"128 Duke of Gloucester St."</f>
        <v>128 Duke of Gloucester St.</v>
      </c>
      <c r="I4" t="str">
        <f>"  "</f>
        <v xml:space="preserve">  </v>
      </c>
      <c r="J4" t="str">
        <f>"Annapolis"</f>
        <v>Annapolis</v>
      </c>
      <c r="K4" t="str">
        <f>"MD"</f>
        <v>MD</v>
      </c>
      <c r="L4" t="str">
        <f>"21401"</f>
        <v>21401</v>
      </c>
      <c r="M4" t="str">
        <f>"Large Business"</f>
        <v>Large Business</v>
      </c>
      <c r="N4" t="str">
        <f>""</f>
        <v/>
      </c>
    </row>
    <row r="5" spans="1:14" x14ac:dyDescent="0.35">
      <c r="A5" t="s">
        <v>50</v>
      </c>
      <c r="B5" t="s">
        <v>1087</v>
      </c>
      <c r="C5" s="2" t="s">
        <v>1088</v>
      </c>
      <c r="D5" t="str">
        <f>"Chief Strategic Growth Officer"</f>
        <v>Chief Strategic Growth Officer</v>
      </c>
      <c r="E5" t="s">
        <v>22</v>
      </c>
      <c r="F5" t="str">
        <f>"NewWave Telecom &amp; Technologies"</f>
        <v>NewWave Telecom &amp; Technologies</v>
      </c>
      <c r="G5" t="str">
        <f>"1-12022852750"</f>
        <v>1-12022852750</v>
      </c>
      <c r="H5" t="str">
        <f>"6518 Meadowridge Road"</f>
        <v>6518 Meadowridge Road</v>
      </c>
      <c r="I5" t="str">
        <f>"Suite 100"</f>
        <v>Suite 100</v>
      </c>
      <c r="J5" t="str">
        <f>"Elkridge"</f>
        <v>Elkridge</v>
      </c>
      <c r="K5" t="str">
        <f>"MD"</f>
        <v>MD</v>
      </c>
      <c r="L5" t="str">
        <f>"21075"</f>
        <v>21075</v>
      </c>
      <c r="M5" t="str">
        <f>"Large Business"</f>
        <v>Large Business</v>
      </c>
      <c r="N5" t="str">
        <f>"newwave.io"</f>
        <v>newwave.io</v>
      </c>
    </row>
    <row r="6" spans="1:14" x14ac:dyDescent="0.35">
      <c r="A6" t="s">
        <v>212</v>
      </c>
      <c r="B6" t="s">
        <v>38</v>
      </c>
      <c r="C6" s="2" t="s">
        <v>213</v>
      </c>
      <c r="D6" t="str">
        <f>"VP"</f>
        <v>VP</v>
      </c>
      <c r="E6" t="s">
        <v>34</v>
      </c>
      <c r="F6" t="str">
        <f>"PSI"</f>
        <v>PSI</v>
      </c>
      <c r="G6" t="str">
        <f>"1-7039800289"</f>
        <v>1-7039800289</v>
      </c>
      <c r="H6" t="str">
        <f>"10632 Little Patuxent Highway"</f>
        <v>10632 Little Patuxent Highway</v>
      </c>
      <c r="I6" t="str">
        <f>"  "</f>
        <v xml:space="preserve">  </v>
      </c>
      <c r="J6" t="str">
        <f>"Columbia"</f>
        <v>Columbia</v>
      </c>
      <c r="K6" t="str">
        <f>"MD"</f>
        <v>MD</v>
      </c>
      <c r="L6" t="str">
        <f>"21044"</f>
        <v>21044</v>
      </c>
      <c r="M6" t="str">
        <f>"Large Business"</f>
        <v>Large Business</v>
      </c>
      <c r="N6" t="str">
        <f>"www.plan-sys.com"</f>
        <v>www.plan-sys.com</v>
      </c>
    </row>
    <row r="7" spans="1:14" x14ac:dyDescent="0.35">
      <c r="A7" t="s">
        <v>530</v>
      </c>
      <c r="B7" t="s">
        <v>529</v>
      </c>
      <c r="C7" s="2" t="s">
        <v>531</v>
      </c>
      <c r="D7" t="str">
        <f>"Business Development Analyst"</f>
        <v>Business Development Analyst</v>
      </c>
      <c r="E7" s="1"/>
      <c r="F7" t="str">
        <f>"Maximus"</f>
        <v>Maximus</v>
      </c>
      <c r="G7" t="str">
        <f>"1-7037124027"</f>
        <v>1-7037124027</v>
      </c>
      <c r="H7" t="str">
        <f>"3120 Fairview Park Drive, Suite 400"</f>
        <v>3120 Fairview Park Drive, Suite 400</v>
      </c>
      <c r="I7" t="str">
        <f>"  "</f>
        <v xml:space="preserve">  </v>
      </c>
      <c r="J7" t="str">
        <f>"Falls Church"</f>
        <v>Falls Church</v>
      </c>
      <c r="K7" t="str">
        <f>"VA"</f>
        <v>VA</v>
      </c>
      <c r="L7" t="str">
        <f>"22042"</f>
        <v>22042</v>
      </c>
      <c r="M7" t="str">
        <f>"Large Business"</f>
        <v>Large Business</v>
      </c>
      <c r="N7" t="str">
        <f>"www.maximus.com"</f>
        <v>www.maximus.com</v>
      </c>
    </row>
    <row r="8" spans="1:14" x14ac:dyDescent="0.35">
      <c r="A8" t="s">
        <v>218</v>
      </c>
      <c r="B8" t="s">
        <v>217</v>
      </c>
      <c r="C8" s="2" t="s">
        <v>219</v>
      </c>
      <c r="D8" t="str">
        <f>"Senior Contracts Analyst"</f>
        <v>Senior Contracts Analyst</v>
      </c>
      <c r="E8" t="s">
        <v>23</v>
      </c>
      <c r="F8" t="str">
        <f>"SAIC"</f>
        <v>SAIC</v>
      </c>
      <c r="G8" t="str">
        <f>"1-703-676-7890"</f>
        <v>1-703-676-7890</v>
      </c>
      <c r="H8" t="str">
        <f>"2900 S Quincy St"</f>
        <v>2900 S Quincy St</v>
      </c>
      <c r="I8" t="str">
        <f>"Ste. 410"</f>
        <v>Ste. 410</v>
      </c>
      <c r="J8" t="str">
        <f>"Arlington"</f>
        <v>Arlington</v>
      </c>
      <c r="K8" t="str">
        <f>"VA"</f>
        <v>VA</v>
      </c>
      <c r="L8" t="str">
        <f>"22206"</f>
        <v>22206</v>
      </c>
      <c r="M8" t="str">
        <f>"Large Business"</f>
        <v>Large Business</v>
      </c>
      <c r="N8" t="str">
        <f>"https://www.saic.com/"</f>
        <v>https://www.saic.com/</v>
      </c>
    </row>
    <row r="9" spans="1:14" x14ac:dyDescent="0.35">
      <c r="A9" t="s">
        <v>613</v>
      </c>
      <c r="B9" t="s">
        <v>612</v>
      </c>
      <c r="C9" s="2" t="s">
        <v>614</v>
      </c>
      <c r="D9" t="str">
        <f>"COO"</f>
        <v>COO</v>
      </c>
      <c r="E9" t="s">
        <v>22</v>
      </c>
      <c r="F9" t="str">
        <f>"Blue Water Thinking, LLC"</f>
        <v>Blue Water Thinking, LLC</v>
      </c>
      <c r="G9" t="str">
        <f>"1-US*7038980064"</f>
        <v>1-US*7038980064</v>
      </c>
      <c r="H9" t="str">
        <f>"8506 Lewinsville Road"</f>
        <v>8506 Lewinsville Road</v>
      </c>
      <c r="I9" t="str">
        <f>"  "</f>
        <v xml:space="preserve">  </v>
      </c>
      <c r="J9" t="str">
        <f>"McLean"</f>
        <v>McLean</v>
      </c>
      <c r="K9" t="str">
        <f>"VA"</f>
        <v>VA</v>
      </c>
      <c r="L9" t="str">
        <f>"22102"</f>
        <v>22102</v>
      </c>
      <c r="M9" t="str">
        <f>"SDVOSB|VOSB|Small Business|Small Disadvantaged Business"</f>
        <v>SDVOSB|VOSB|Small Business|Small Disadvantaged Business</v>
      </c>
      <c r="N9" t="str">
        <f>"www.bw-thinking.com"</f>
        <v>www.bw-thinking.com</v>
      </c>
    </row>
    <row r="10" spans="1:14" x14ac:dyDescent="0.35">
      <c r="A10" t="s">
        <v>929</v>
      </c>
      <c r="B10" t="s">
        <v>699</v>
      </c>
      <c r="C10" s="2" t="s">
        <v>930</v>
      </c>
      <c r="D10" t="str">
        <f>"Vice President, Health"</f>
        <v>Vice President, Health</v>
      </c>
      <c r="E10" t="s">
        <v>23</v>
      </c>
      <c r="F10" t="str">
        <f>"SAIC"</f>
        <v>SAIC</v>
      </c>
      <c r="G10" t="str">
        <f>"1-781-718-1627"</f>
        <v>1-781-718-1627</v>
      </c>
      <c r="H10" t="str">
        <f>"12010 Sunset Hills Rd"</f>
        <v>12010 Sunset Hills Rd</v>
      </c>
      <c r="I10" t="str">
        <f>"  "</f>
        <v xml:space="preserve">  </v>
      </c>
      <c r="J10" t="str">
        <f>"Reston"</f>
        <v>Reston</v>
      </c>
      <c r="K10" t="str">
        <f>"VA"</f>
        <v>VA</v>
      </c>
      <c r="L10" t="str">
        <f>"20190"</f>
        <v>20190</v>
      </c>
      <c r="M10" t="str">
        <f>"Large Business"</f>
        <v>Large Business</v>
      </c>
      <c r="N10" t="str">
        <f>"www.saic.com"</f>
        <v>www.saic.com</v>
      </c>
    </row>
    <row r="11" spans="1:14" x14ac:dyDescent="0.35">
      <c r="A11" t="s">
        <v>746</v>
      </c>
      <c r="B11" t="s">
        <v>248</v>
      </c>
      <c r="C11" s="2" t="s">
        <v>747</v>
      </c>
      <c r="D11" t="str">
        <f>"Owner/CEO"</f>
        <v>Owner/CEO</v>
      </c>
      <c r="E11" s="1"/>
      <c r="F11" t="str">
        <f>"Ascension Associates Consulting, LLC"</f>
        <v>Ascension Associates Consulting, LLC</v>
      </c>
      <c r="G11" t="str">
        <f>"1-7038538551"</f>
        <v>1-7038538551</v>
      </c>
      <c r="H11" t="str">
        <f>"P.O. Box 53"</f>
        <v>P.O. Box 53</v>
      </c>
      <c r="I11" t="str">
        <f>"  "</f>
        <v xml:space="preserve">  </v>
      </c>
      <c r="J11" t="str">
        <f>"Mt Meigs"</f>
        <v>Mt Meigs</v>
      </c>
      <c r="K11" t="str">
        <f>"Alabama"</f>
        <v>Alabama</v>
      </c>
      <c r="L11" t="str">
        <f>"36057"</f>
        <v>36057</v>
      </c>
      <c r="M11" t="str">
        <f>"SDVOSB|VOSB|Small Business|Small Disadvantaged Business"</f>
        <v>SDVOSB|VOSB|Small Business|Small Disadvantaged Business</v>
      </c>
      <c r="N11" t="str">
        <f>"https://ascension-associates-consulting.com/"</f>
        <v>https://ascension-associates-consulting.com/</v>
      </c>
    </row>
    <row r="12" spans="1:14" x14ac:dyDescent="0.35">
      <c r="A12" t="s">
        <v>845</v>
      </c>
      <c r="B12" t="s">
        <v>844</v>
      </c>
      <c r="C12" s="2" t="s">
        <v>846</v>
      </c>
      <c r="D12" t="str">
        <f>"Associate"</f>
        <v>Associate</v>
      </c>
      <c r="E12" s="1"/>
      <c r="F12" t="str">
        <f>"Integres, LLC"</f>
        <v>Integres, LLC</v>
      </c>
      <c r="G12" t="str">
        <f>"1-571-369-1907"</f>
        <v>1-571-369-1907</v>
      </c>
      <c r="H12" t="str">
        <f>"9658 Baltimore Ave, #300"</f>
        <v>9658 Baltimore Ave, #300</v>
      </c>
      <c r="I12" t="str">
        <f>"  "</f>
        <v xml:space="preserve">  </v>
      </c>
      <c r="J12" t="str">
        <f>"College Park"</f>
        <v>College Park</v>
      </c>
      <c r="K12" t="str">
        <f>"MD"</f>
        <v>MD</v>
      </c>
      <c r="L12" t="str">
        <f>"20740"</f>
        <v>20740</v>
      </c>
      <c r="M12" t="str">
        <f>"8(A)|SDVOSB|HUBZone|Small Disadvantaged Business"</f>
        <v>8(A)|SDVOSB|HUBZone|Small Disadvantaged Business</v>
      </c>
      <c r="N12" t="str">
        <f>"https://www.integrestech.com/"</f>
        <v>https://www.integrestech.com/</v>
      </c>
    </row>
    <row r="13" spans="1:14" x14ac:dyDescent="0.35">
      <c r="A13" t="s">
        <v>77</v>
      </c>
      <c r="B13" t="s">
        <v>76</v>
      </c>
      <c r="C13" s="2" t="s">
        <v>78</v>
      </c>
      <c r="D13" t="str">
        <f>"Account Manager"</f>
        <v>Account Manager</v>
      </c>
      <c r="E13" t="s">
        <v>23</v>
      </c>
      <c r="F13" t="str">
        <f>"Iron Bow Technologies"</f>
        <v>Iron Bow Technologies</v>
      </c>
      <c r="G13" t="str">
        <f>"1-4434173412"</f>
        <v>1-4434173412</v>
      </c>
      <c r="H13" t="str">
        <f>"2121 Cooperative Way"</f>
        <v>2121 Cooperative Way</v>
      </c>
      <c r="I13" t="str">
        <f>"Suite 500"</f>
        <v>Suite 500</v>
      </c>
      <c r="J13" t="str">
        <f>"Herndon"</f>
        <v>Herndon</v>
      </c>
      <c r="K13" t="str">
        <f>"VA"</f>
        <v>VA</v>
      </c>
      <c r="L13" t="str">
        <f>"20171"</f>
        <v>20171</v>
      </c>
      <c r="M13" t="str">
        <f>"Large Business"</f>
        <v>Large Business</v>
      </c>
      <c r="N13" t="str">
        <f>"www.ironbow.com"</f>
        <v>www.ironbow.com</v>
      </c>
    </row>
    <row r="14" spans="1:14" x14ac:dyDescent="0.35">
      <c r="A14" t="s">
        <v>77</v>
      </c>
      <c r="B14" t="s">
        <v>984</v>
      </c>
      <c r="C14" s="2" t="s">
        <v>985</v>
      </c>
      <c r="D14" t="str">
        <f>"CEO"</f>
        <v>CEO</v>
      </c>
      <c r="E14" s="1"/>
      <c r="F14" t="str">
        <f>"Anderson Enterprise Solutions LLC"</f>
        <v>Anderson Enterprise Solutions LLC</v>
      </c>
      <c r="G14" t="str">
        <f>"1-7035873146"</f>
        <v>1-7035873146</v>
      </c>
      <c r="H14" t="str">
        <f>"3010 S Columbus St"</f>
        <v>3010 S Columbus St</v>
      </c>
      <c r="I14" t="str">
        <f>"2C"</f>
        <v>2C</v>
      </c>
      <c r="J14" t="str">
        <f>"Arlington"</f>
        <v>Arlington</v>
      </c>
      <c r="K14" t="str">
        <f>"VA"</f>
        <v>VA</v>
      </c>
      <c r="L14" t="str">
        <f>"22206"</f>
        <v>22206</v>
      </c>
      <c r="M14" t="str">
        <f>"Small Business"</f>
        <v>Small Business</v>
      </c>
      <c r="N14" t="str">
        <f>""</f>
        <v/>
      </c>
    </row>
    <row r="15" spans="1:14" x14ac:dyDescent="0.35">
      <c r="A15" t="s">
        <v>68</v>
      </c>
      <c r="B15" t="s">
        <v>67</v>
      </c>
      <c r="C15" s="2" t="s">
        <v>69</v>
      </c>
      <c r="D15" t="str">
        <f>"Veterans Affairs Lead"</f>
        <v>Veterans Affairs Lead</v>
      </c>
      <c r="E15" t="s">
        <v>23</v>
      </c>
      <c r="F15" t="str">
        <f>"Palantir Technologies"</f>
        <v>Palantir Technologies</v>
      </c>
      <c r="G15" t="str">
        <f>"1-7039697218"</f>
        <v>1-7039697218</v>
      </c>
      <c r="H15" t="str">
        <f>"1025 Thomas Jefferson ST NW"</f>
        <v>1025 Thomas Jefferson ST NW</v>
      </c>
      <c r="I15" t="str">
        <f>"  "</f>
        <v xml:space="preserve">  </v>
      </c>
      <c r="J15" t="str">
        <f>"Washington"</f>
        <v>Washington</v>
      </c>
      <c r="K15" t="str">
        <f>"District of Columbia"</f>
        <v>District of Columbia</v>
      </c>
      <c r="L15" t="str">
        <f>"20007"</f>
        <v>20007</v>
      </c>
      <c r="M15" t="str">
        <f>"Large Business"</f>
        <v>Large Business</v>
      </c>
      <c r="N15" t="str">
        <f>"www.palantir.com"</f>
        <v>www.palantir.com</v>
      </c>
    </row>
    <row r="16" spans="1:14" x14ac:dyDescent="0.35">
      <c r="A16" t="s">
        <v>969</v>
      </c>
      <c r="B16" t="s">
        <v>390</v>
      </c>
      <c r="C16" s="2" t="s">
        <v>970</v>
      </c>
      <c r="D16" t="str">
        <f>"Director of Growth &amp; Strategy"</f>
        <v>Director of Growth &amp; Strategy</v>
      </c>
      <c r="E16" t="s">
        <v>34</v>
      </c>
      <c r="F16" t="str">
        <f>"Ad Hoc"</f>
        <v>Ad Hoc</v>
      </c>
      <c r="G16" t="str">
        <f>"1-630-596-3245"</f>
        <v>1-630-596-3245</v>
      </c>
      <c r="H16" t="str">
        <f>"1350 I Street NW"</f>
        <v>1350 I Street NW</v>
      </c>
      <c r="I16" t="str">
        <f>"Suite 550"</f>
        <v>Suite 550</v>
      </c>
      <c r="J16" t="str">
        <f>"Washington"</f>
        <v>Washington</v>
      </c>
      <c r="K16" t="str">
        <f>"DC"</f>
        <v>DC</v>
      </c>
      <c r="L16" t="str">
        <f>"20005"</f>
        <v>20005</v>
      </c>
      <c r="M16" t="str">
        <f>"Large Business"</f>
        <v>Large Business</v>
      </c>
      <c r="N16" t="str">
        <f>"adhocteam.us"</f>
        <v>adhocteam.us</v>
      </c>
    </row>
    <row r="17" spans="1:14" x14ac:dyDescent="0.35">
      <c r="A17" t="s">
        <v>999</v>
      </c>
      <c r="B17" t="s">
        <v>998</v>
      </c>
      <c r="C17" s="2" t="s">
        <v>1000</v>
      </c>
      <c r="D17" t="str">
        <f>"Sales Engineer"</f>
        <v>Sales Engineer</v>
      </c>
      <c r="E17" s="1"/>
      <c r="F17" t="str">
        <f>"C-CAT"</f>
        <v>C-CAT</v>
      </c>
      <c r="G17" t="str">
        <f>"1-3175682899"</f>
        <v>1-3175682899</v>
      </c>
      <c r="H17" t="str">
        <f>"1726 West 15th Street"</f>
        <v>1726 West 15th Street</v>
      </c>
      <c r="I17" t="str">
        <f>"  "</f>
        <v xml:space="preserve">  </v>
      </c>
      <c r="J17" t="str">
        <f>"Indianapolis"</f>
        <v>Indianapolis</v>
      </c>
      <c r="K17" t="str">
        <f>"Indiana"</f>
        <v>Indiana</v>
      </c>
      <c r="L17" t="str">
        <f>"46202"</f>
        <v>46202</v>
      </c>
      <c r="M17" t="str">
        <f>"VOSB|WOSB|Small Business"</f>
        <v>VOSB|WOSB|Small Business</v>
      </c>
      <c r="N17" t="str">
        <f>"www.c-cat.com"</f>
        <v>www.c-cat.com</v>
      </c>
    </row>
    <row r="18" spans="1:14" x14ac:dyDescent="0.35">
      <c r="A18" t="s">
        <v>633</v>
      </c>
      <c r="B18" t="s">
        <v>632</v>
      </c>
      <c r="C18" s="2" t="s">
        <v>634</v>
      </c>
      <c r="D18" t="str">
        <f>"Business Analyst"</f>
        <v>Business Analyst</v>
      </c>
      <c r="E18" s="1"/>
      <c r="F18" t="str">
        <f>"Clearwaters IT"</f>
        <v>Clearwaters IT</v>
      </c>
      <c r="G18" t="str">
        <f>"1-301 351 6754"</f>
        <v>1-301 351 6754</v>
      </c>
      <c r="H18" t="str">
        <f>"838 Bayridge Drive"</f>
        <v>838 Bayridge Drive</v>
      </c>
      <c r="I18" t="str">
        <f>"  "</f>
        <v xml:space="preserve">  </v>
      </c>
      <c r="J18" t="str">
        <f>"Gaithersburg"</f>
        <v>Gaithersburg</v>
      </c>
      <c r="K18" t="str">
        <f>"MD"</f>
        <v>MD</v>
      </c>
      <c r="L18" t="str">
        <f>"20878"</f>
        <v>20878</v>
      </c>
      <c r="M18" t="str">
        <f>"N/A"</f>
        <v>N/A</v>
      </c>
      <c r="N18" t="str">
        <f>""</f>
        <v/>
      </c>
    </row>
    <row r="19" spans="1:14" x14ac:dyDescent="0.35">
      <c r="A19" t="s">
        <v>429</v>
      </c>
      <c r="B19" t="s">
        <v>428</v>
      </c>
      <c r="C19" s="2" t="s">
        <v>430</v>
      </c>
      <c r="D19" t="str">
        <f>"COO"</f>
        <v>COO</v>
      </c>
      <c r="E19" s="1"/>
      <c r="F19" t="str">
        <f>"Veteran Technology Leaders, LLC"</f>
        <v>Veteran Technology Leaders, LLC</v>
      </c>
      <c r="G19" t="str">
        <f>"1-17033071754"</f>
        <v>1-17033071754</v>
      </c>
      <c r="H19" t="str">
        <f>"9658 Baltimore Avenue"</f>
        <v>9658 Baltimore Avenue</v>
      </c>
      <c r="I19" t="str">
        <f>"Suite 300 - 18"</f>
        <v>Suite 300 - 18</v>
      </c>
      <c r="J19" t="str">
        <f>"Silver Spring"</f>
        <v>Silver Spring</v>
      </c>
      <c r="K19" t="str">
        <f>"MD"</f>
        <v>MD</v>
      </c>
      <c r="L19" t="str">
        <f>"20904"</f>
        <v>20904</v>
      </c>
      <c r="M19" t="str">
        <f>"8(A)|SDVOSB|VOSB|Small Business|Small Disadvantaged Business"</f>
        <v>8(A)|SDVOSB|VOSB|Small Business|Small Disadvantaged Business</v>
      </c>
      <c r="N19" t="str">
        <f>"www.vtleaders.com"</f>
        <v>www.vtleaders.com</v>
      </c>
    </row>
    <row r="20" spans="1:14" x14ac:dyDescent="0.35">
      <c r="A20" t="s">
        <v>1099</v>
      </c>
      <c r="B20" t="s">
        <v>38</v>
      </c>
      <c r="C20" s="2" t="s">
        <v>1100</v>
      </c>
      <c r="D20" t="str">
        <f>"Head of Healthcare Alliances"</f>
        <v>Head of Healthcare Alliances</v>
      </c>
      <c r="E20" t="s">
        <v>22</v>
      </c>
      <c r="F20" t="str">
        <f>"Ascom"</f>
        <v>Ascom</v>
      </c>
      <c r="G20" t="str">
        <f>"1-540-424-4401"</f>
        <v>1-540-424-4401</v>
      </c>
      <c r="H20" t="str">
        <f>"300 Perimeter Park Drive"</f>
        <v>300 Perimeter Park Drive</v>
      </c>
      <c r="I20" t="str">
        <f>"  "</f>
        <v xml:space="preserve">  </v>
      </c>
      <c r="J20" t="str">
        <f>"Morrisville"</f>
        <v>Morrisville</v>
      </c>
      <c r="K20" t="str">
        <f>"NC"</f>
        <v>NC</v>
      </c>
      <c r="L20" t="str">
        <f>"27560"</f>
        <v>27560</v>
      </c>
      <c r="M20" t="str">
        <f>"Large Business"</f>
        <v>Large Business</v>
      </c>
      <c r="N20" t="str">
        <f>""</f>
        <v/>
      </c>
    </row>
    <row r="21" spans="1:14" x14ac:dyDescent="0.35">
      <c r="A21" t="s">
        <v>898</v>
      </c>
      <c r="B21" t="s">
        <v>897</v>
      </c>
      <c r="C21" s="2" t="s">
        <v>899</v>
      </c>
      <c r="D21" t="str">
        <f>"Account Director"</f>
        <v>Account Director</v>
      </c>
      <c r="E21" t="s">
        <v>23</v>
      </c>
      <c r="F21" t="str">
        <f>"Microsoft"</f>
        <v>Microsoft</v>
      </c>
      <c r="G21" t="str">
        <f>"1-7033572307"</f>
        <v>1-7033572307</v>
      </c>
      <c r="H21" t="str">
        <f>"20717 WOODTHRUSH CT"</f>
        <v>20717 WOODTHRUSH CT</v>
      </c>
      <c r="I21" t="str">
        <f>"  "</f>
        <v xml:space="preserve">  </v>
      </c>
      <c r="J21" t="str">
        <f>"STERLING"</f>
        <v>STERLING</v>
      </c>
      <c r="K21" t="str">
        <f>"VA"</f>
        <v>VA</v>
      </c>
      <c r="L21" t="str">
        <f>"20165"</f>
        <v>20165</v>
      </c>
      <c r="M21" t="str">
        <f>"Large Business"</f>
        <v>Large Business</v>
      </c>
      <c r="N21" t="str">
        <f>""</f>
        <v/>
      </c>
    </row>
    <row r="22" spans="1:14" x14ac:dyDescent="0.35">
      <c r="A22" t="s">
        <v>440</v>
      </c>
      <c r="B22" t="s">
        <v>14</v>
      </c>
      <c r="C22" s="2" t="s">
        <v>441</v>
      </c>
      <c r="D22" t="str">
        <f>"Director of Operations"</f>
        <v>Director of Operations</v>
      </c>
      <c r="E22" t="s">
        <v>22</v>
      </c>
      <c r="F22" t="str">
        <f>"EPS Corp"</f>
        <v>EPS Corp</v>
      </c>
      <c r="G22" t="str">
        <f>"1-7328655539"</f>
        <v>1-7328655539</v>
      </c>
      <c r="H22" t="str">
        <f>"61 JAMES WAY"</f>
        <v>61 JAMES WAY</v>
      </c>
      <c r="I22" t="str">
        <f>"  "</f>
        <v xml:space="preserve">  </v>
      </c>
      <c r="J22" t="str">
        <f>"Eatontown"</f>
        <v>Eatontown</v>
      </c>
      <c r="K22" t="str">
        <f>"NJ"</f>
        <v>NJ</v>
      </c>
      <c r="L22" t="str">
        <f>"07724"</f>
        <v>07724</v>
      </c>
      <c r="M22" t="str">
        <f>"WOSB"</f>
        <v>WOSB</v>
      </c>
      <c r="N22" t="str">
        <f>"www.epscorp.com"</f>
        <v>www.epscorp.com</v>
      </c>
    </row>
    <row r="23" spans="1:14" x14ac:dyDescent="0.35">
      <c r="A23" t="s">
        <v>709</v>
      </c>
      <c r="B23" t="s">
        <v>180</v>
      </c>
      <c r="C23" s="2" t="s">
        <v>1105</v>
      </c>
      <c r="D23" t="str">
        <f>"EVP"</f>
        <v>EVP</v>
      </c>
      <c r="E23" s="1"/>
      <c r="F23" t="str">
        <f>"Integrated Systems Solutions, Inc."</f>
        <v>Integrated Systems Solutions, Inc.</v>
      </c>
      <c r="G23" t="str">
        <f>"1-3019382128"</f>
        <v>1-3019382128</v>
      </c>
      <c r="H23" t="str">
        <f>"8609 Westwood Center Drive"</f>
        <v>8609 Westwood Center Drive</v>
      </c>
      <c r="I23" t="str">
        <f>"Suite 110"</f>
        <v>Suite 110</v>
      </c>
      <c r="J23" t="str">
        <f>"Tysons Corner"</f>
        <v>Tysons Corner</v>
      </c>
      <c r="K23" t="str">
        <f>"Virginia"</f>
        <v>Virginia</v>
      </c>
      <c r="L23" t="str">
        <f>"22182"</f>
        <v>22182</v>
      </c>
      <c r="M23" t="str">
        <f>"SDVOSB|VOSB|Small Business"</f>
        <v>SDVOSB|VOSB|Small Business</v>
      </c>
      <c r="N23" t="str">
        <f>"www.issmgmt.com"</f>
        <v>www.issmgmt.com</v>
      </c>
    </row>
    <row r="24" spans="1:14" x14ac:dyDescent="0.35">
      <c r="A24" t="s">
        <v>536</v>
      </c>
      <c r="B24" t="s">
        <v>535</v>
      </c>
      <c r="C24" s="2" t="s">
        <v>537</v>
      </c>
      <c r="D24" t="str">
        <f>"Proposal Manager"</f>
        <v>Proposal Manager</v>
      </c>
      <c r="E24" s="1"/>
      <c r="F24" t="str">
        <f>"VetsEz"</f>
        <v>VetsEz</v>
      </c>
      <c r="G24" t="str">
        <f>"1-202-607-1042"</f>
        <v>1-202-607-1042</v>
      </c>
      <c r="H24" t="str">
        <f>"440 Monticello Avenue"</f>
        <v>440 Monticello Avenue</v>
      </c>
      <c r="I24" t="str">
        <f>"Suite 1800"</f>
        <v>Suite 1800</v>
      </c>
      <c r="J24" t="str">
        <f>"Norfolk"</f>
        <v>Norfolk</v>
      </c>
      <c r="K24" t="str">
        <f>"VIRGINIA"</f>
        <v>VIRGINIA</v>
      </c>
      <c r="L24" t="str">
        <f>"23510"</f>
        <v>23510</v>
      </c>
      <c r="M24" t="str">
        <f>"SDVOSB"</f>
        <v>SDVOSB</v>
      </c>
      <c r="N24" t="str">
        <f>""</f>
        <v/>
      </c>
    </row>
    <row r="25" spans="1:14" x14ac:dyDescent="0.35">
      <c r="A25" t="s">
        <v>65</v>
      </c>
      <c r="B25" t="s">
        <v>64</v>
      </c>
      <c r="C25" s="2" t="s">
        <v>66</v>
      </c>
      <c r="D25" t="str">
        <f>"Customer Success Manager"</f>
        <v>Customer Success Manager</v>
      </c>
      <c r="E25" t="s">
        <v>23</v>
      </c>
      <c r="F25" t="str">
        <f>"IBM"</f>
        <v>IBM</v>
      </c>
      <c r="G25" t="str">
        <f>"1-4109608281"</f>
        <v>1-4109608281</v>
      </c>
      <c r="H25" t="str">
        <f>"135 National Business Pkwy Ste 100"</f>
        <v>135 National Business Pkwy Ste 100</v>
      </c>
      <c r="I25" t="str">
        <f>"  "</f>
        <v xml:space="preserve">  </v>
      </c>
      <c r="J25" t="str">
        <f>"Annapolis Junction"</f>
        <v>Annapolis Junction</v>
      </c>
      <c r="K25" t="str">
        <f>"Maryland"</f>
        <v>Maryland</v>
      </c>
      <c r="L25" t="str">
        <f>"20701"</f>
        <v>20701</v>
      </c>
      <c r="M25" t="str">
        <f>"Large Business"</f>
        <v>Large Business</v>
      </c>
      <c r="N25" t="str">
        <f>""</f>
        <v/>
      </c>
    </row>
    <row r="26" spans="1:14" x14ac:dyDescent="0.35">
      <c r="A26" t="s">
        <v>574</v>
      </c>
      <c r="B26" t="s">
        <v>573</v>
      </c>
      <c r="C26" s="2" t="s">
        <v>575</v>
      </c>
      <c r="D26" t="str">
        <f>"Dir, Federal Programs"</f>
        <v>Dir, Federal Programs</v>
      </c>
      <c r="E26" s="1"/>
      <c r="F26" t="str">
        <f>"Sonatype, Inc."</f>
        <v>Sonatype, Inc.</v>
      </c>
      <c r="G26" t="str">
        <f>"1-2028342934"</f>
        <v>1-2028342934</v>
      </c>
      <c r="H26" t="str">
        <f>"8161 Maple Lawn Blvd."</f>
        <v>8161 Maple Lawn Blvd.</v>
      </c>
      <c r="I26" t="str">
        <f>"Suite 250"</f>
        <v>Suite 250</v>
      </c>
      <c r="J26" t="str">
        <f>"Fulton"</f>
        <v>Fulton</v>
      </c>
      <c r="K26" t="str">
        <f>"MD"</f>
        <v>MD</v>
      </c>
      <c r="L26" t="str">
        <f>"20759"</f>
        <v>20759</v>
      </c>
      <c r="M26" t="str">
        <f>"Large Business"</f>
        <v>Large Business</v>
      </c>
      <c r="N26" t="str">
        <f>"http://www.sonatype.com"</f>
        <v>http://www.sonatype.com</v>
      </c>
    </row>
    <row r="27" spans="1:14" x14ac:dyDescent="0.35">
      <c r="A27" t="s">
        <v>567</v>
      </c>
      <c r="B27" t="s">
        <v>566</v>
      </c>
      <c r="C27" s="2" t="s">
        <v>568</v>
      </c>
      <c r="D27" t="str">
        <f>"Global Health - VA"</f>
        <v>Global Health - VA</v>
      </c>
      <c r="E27" t="s">
        <v>23</v>
      </c>
      <c r="F27" t="str">
        <f>"Global Health - VA"</f>
        <v>Global Health - VA</v>
      </c>
      <c r="G27" t="str">
        <f>"1-5407057828"</f>
        <v>1-5407057828</v>
      </c>
      <c r="H27" t="str">
        <f>"3456 Lairds Knob Dr"</f>
        <v>3456 Lairds Knob Dr</v>
      </c>
      <c r="I27" t="str">
        <f>"  "</f>
        <v xml:space="preserve">  </v>
      </c>
      <c r="J27" t="str">
        <f>"Keezletown"</f>
        <v>Keezletown</v>
      </c>
      <c r="K27" t="str">
        <f>"Virginia"</f>
        <v>Virginia</v>
      </c>
      <c r="L27" t="str">
        <f>"22832"</f>
        <v>22832</v>
      </c>
      <c r="M27" t="str">
        <f>"Large Business"</f>
        <v>Large Business</v>
      </c>
      <c r="N27" t="str">
        <f>""</f>
        <v/>
      </c>
    </row>
    <row r="28" spans="1:14" x14ac:dyDescent="0.35">
      <c r="A28" t="s">
        <v>895</v>
      </c>
      <c r="B28" t="s">
        <v>112</v>
      </c>
      <c r="C28" s="2" t="s">
        <v>896</v>
      </c>
      <c r="D28" t="str">
        <f>"Partner"</f>
        <v>Partner</v>
      </c>
      <c r="E28" s="1"/>
      <c r="F28" t="str">
        <f>"Decisive Point Consulting Group"</f>
        <v>Decisive Point Consulting Group</v>
      </c>
      <c r="G28" t="str">
        <f>"1-732245444"</f>
        <v>1-732245444</v>
      </c>
      <c r="H28" t="str">
        <f>"14 Bayonne Ave"</f>
        <v>14 Bayonne Ave</v>
      </c>
      <c r="I28" t="str">
        <f>"  "</f>
        <v xml:space="preserve">  </v>
      </c>
      <c r="J28" t="str">
        <f>"Monmouth Beach"</f>
        <v>Monmouth Beach</v>
      </c>
      <c r="K28" t="str">
        <f>"NJ"</f>
        <v>NJ</v>
      </c>
      <c r="L28" t="str">
        <f>"07750"</f>
        <v>07750</v>
      </c>
      <c r="M28" t="str">
        <f>"SDVOSB"</f>
        <v>SDVOSB</v>
      </c>
      <c r="N28" t="str">
        <f>"www.decisivepointconsulting.com"</f>
        <v>www.decisivepointconsulting.com</v>
      </c>
    </row>
    <row r="29" spans="1:14" x14ac:dyDescent="0.35">
      <c r="A29" t="s">
        <v>624</v>
      </c>
      <c r="B29" t="s">
        <v>623</v>
      </c>
      <c r="C29" s="2" t="s">
        <v>625</v>
      </c>
      <c r="D29" t="str">
        <f>"Proposal Coordinator"</f>
        <v>Proposal Coordinator</v>
      </c>
      <c r="E29" t="s">
        <v>22</v>
      </c>
      <c r="F29" t="str">
        <f>"Trilogy Federal"</f>
        <v>Trilogy Federal</v>
      </c>
      <c r="G29" t="str">
        <f>"1-000-0000"</f>
        <v>1-000-0000</v>
      </c>
      <c r="H29" t="str">
        <f>"1100 Wilson Blvd."</f>
        <v>1100 Wilson Blvd.</v>
      </c>
      <c r="I29" t="str">
        <f>"Suite 1100"</f>
        <v>Suite 1100</v>
      </c>
      <c r="J29" t="str">
        <f>"Arlington"</f>
        <v>Arlington</v>
      </c>
      <c r="K29" t="str">
        <f>"VA"</f>
        <v>VA</v>
      </c>
      <c r="L29" t="str">
        <f>"22209"</f>
        <v>22209</v>
      </c>
      <c r="M29" t="str">
        <f>"SDVOSB|VOSB|Small Business"</f>
        <v>SDVOSB|VOSB|Small Business</v>
      </c>
      <c r="N29" t="str">
        <f>""</f>
        <v/>
      </c>
    </row>
    <row r="30" spans="1:14" x14ac:dyDescent="0.35">
      <c r="A30" t="s">
        <v>44</v>
      </c>
      <c r="B30" t="s">
        <v>43</v>
      </c>
      <c r="C30" s="2" t="s">
        <v>45</v>
      </c>
      <c r="D30" t="str">
        <f>"Communications/Media Specialist"</f>
        <v>Communications/Media Specialist</v>
      </c>
      <c r="E30" t="s">
        <v>22</v>
      </c>
      <c r="F30" t="str">
        <f>"Take2 Consulting"</f>
        <v>Take2 Consulting</v>
      </c>
      <c r="G30" t="str">
        <f>"1-(888) 825-3203"</f>
        <v>1-(888) 825-3203</v>
      </c>
      <c r="H30" t="str">
        <f>"1593 Spring Hill Rd Ste 100"</f>
        <v>1593 Spring Hill Rd Ste 100</v>
      </c>
      <c r="I30" t="str">
        <f>"  "</f>
        <v xml:space="preserve">  </v>
      </c>
      <c r="J30" t="str">
        <f>"Vienna"</f>
        <v>Vienna</v>
      </c>
      <c r="K30" t="str">
        <f>"VA"</f>
        <v>VA</v>
      </c>
      <c r="L30" t="str">
        <f>"22182"</f>
        <v>22182</v>
      </c>
      <c r="M30" t="str">
        <f>"Small Business"</f>
        <v>Small Business</v>
      </c>
      <c r="N30" t="str">
        <f>"https://take2it.com/"</f>
        <v>https://take2it.com/</v>
      </c>
    </row>
    <row r="31" spans="1:14" x14ac:dyDescent="0.35">
      <c r="A31" t="s">
        <v>700</v>
      </c>
      <c r="B31" t="s">
        <v>699</v>
      </c>
      <c r="C31" s="2" t="s">
        <v>701</v>
      </c>
      <c r="D31" t="str">
        <f>"CEO"</f>
        <v>CEO</v>
      </c>
      <c r="E31" s="1"/>
      <c r="F31" t="str">
        <f>"Privateer IT"</f>
        <v>Privateer IT</v>
      </c>
      <c r="G31" t="str">
        <f>"1-3214993993"</f>
        <v>1-3214993993</v>
      </c>
      <c r="H31" t="str">
        <f>"1103 W. Hibiscus Blvd"</f>
        <v>1103 W. Hibiscus Blvd</v>
      </c>
      <c r="I31" t="str">
        <f>"400"</f>
        <v>400</v>
      </c>
      <c r="J31" t="str">
        <f>"Melbourne"</f>
        <v>Melbourne</v>
      </c>
      <c r="K31" t="str">
        <f>"Florida"</f>
        <v>Florida</v>
      </c>
      <c r="L31" t="str">
        <f>"32904"</f>
        <v>32904</v>
      </c>
      <c r="M31" t="str">
        <f>"SDVOSB|HUBZone|Small Business|Small Disadvantaged Business"</f>
        <v>SDVOSB|HUBZone|Small Business|Small Disadvantaged Business</v>
      </c>
      <c r="N31" t="str">
        <f>"www.privateerit.com"</f>
        <v>www.privateerit.com</v>
      </c>
    </row>
    <row r="32" spans="1:14" x14ac:dyDescent="0.35">
      <c r="A32" t="s">
        <v>917</v>
      </c>
      <c r="B32" t="s">
        <v>239</v>
      </c>
      <c r="C32" s="2" t="s">
        <v>918</v>
      </c>
      <c r="D32" t="str">
        <f>"Account Executive"</f>
        <v>Account Executive</v>
      </c>
      <c r="E32" s="1"/>
      <c r="F32" t="str">
        <f>"Gartner"</f>
        <v>Gartner</v>
      </c>
      <c r="G32" t="str">
        <f>"1-(571) 303-3551 "</f>
        <v xml:space="preserve">1-(571) 303-3551 </v>
      </c>
      <c r="H32" t="str">
        <f>"1201 Wilson Blvd"</f>
        <v>1201 Wilson Blvd</v>
      </c>
      <c r="I32" t="str">
        <f>"  "</f>
        <v xml:space="preserve">  </v>
      </c>
      <c r="J32" t="str">
        <f>"Arlington"</f>
        <v>Arlington</v>
      </c>
      <c r="K32" t="str">
        <f>"VA"</f>
        <v>VA</v>
      </c>
      <c r="L32" t="str">
        <f>"22209"</f>
        <v>22209</v>
      </c>
      <c r="M32" t="str">
        <f>"Large Business"</f>
        <v>Large Business</v>
      </c>
      <c r="N32" t="str">
        <f>""</f>
        <v/>
      </c>
    </row>
    <row r="33" spans="1:14" x14ac:dyDescent="0.35">
      <c r="A33" t="s">
        <v>577</v>
      </c>
      <c r="B33" t="s">
        <v>311</v>
      </c>
      <c r="C33" s="2" t="s">
        <v>578</v>
      </c>
      <c r="D33" t="str">
        <f>"PMO Director"</f>
        <v>PMO Director</v>
      </c>
      <c r="E33" s="1"/>
      <c r="F33" t="str">
        <f>"ThunderYard Liberty Joint Venture"</f>
        <v>ThunderYard Liberty Joint Venture</v>
      </c>
      <c r="G33" t="str">
        <f>"1-2169253796"</f>
        <v>1-2169253796</v>
      </c>
      <c r="H33" t="str">
        <f>"1382 W Melrose Dr"</f>
        <v>1382 W Melrose Dr</v>
      </c>
      <c r="I33" t="str">
        <f>"  "</f>
        <v xml:space="preserve">  </v>
      </c>
      <c r="J33" t="str">
        <f>"Westlake"</f>
        <v>Westlake</v>
      </c>
      <c r="K33" t="str">
        <f>"OH"</f>
        <v>OH</v>
      </c>
      <c r="L33" t="str">
        <f>"44145"</f>
        <v>44145</v>
      </c>
      <c r="M33" t="str">
        <f>"SDVOSB|VOSB"</f>
        <v>SDVOSB|VOSB</v>
      </c>
      <c r="N33" t="str">
        <f>""</f>
        <v/>
      </c>
    </row>
    <row r="34" spans="1:14" x14ac:dyDescent="0.35">
      <c r="A34" t="s">
        <v>744</v>
      </c>
      <c r="B34" t="s">
        <v>743</v>
      </c>
      <c r="C34" s="2" t="s">
        <v>745</v>
      </c>
      <c r="D34" t="str">
        <f>"National Account Executive"</f>
        <v>National Account Executive</v>
      </c>
      <c r="E34" s="1"/>
      <c r="F34" t="str">
        <f>"Four Points Technology"</f>
        <v>Four Points Technology</v>
      </c>
      <c r="G34" t="str">
        <f>"1-5126570262"</f>
        <v>1-5126570262</v>
      </c>
      <c r="H34" t="str">
        <f>"14900 Conference Center Dr Ste 100"</f>
        <v>14900 Conference Center Dr Ste 100</v>
      </c>
      <c r="I34" t="str">
        <f>"  "</f>
        <v xml:space="preserve">  </v>
      </c>
      <c r="J34" t="str">
        <f>"Chantilly"</f>
        <v>Chantilly</v>
      </c>
      <c r="K34" t="str">
        <f>"VA"</f>
        <v>VA</v>
      </c>
      <c r="L34" t="str">
        <f>"20151"</f>
        <v>20151</v>
      </c>
      <c r="M34" t="str">
        <f>"SDVOSB"</f>
        <v>SDVOSB</v>
      </c>
      <c r="N34" t="str">
        <f>"www.4points.com"</f>
        <v>www.4points.com</v>
      </c>
    </row>
    <row r="35" spans="1:14" x14ac:dyDescent="0.35">
      <c r="A35" t="s">
        <v>478</v>
      </c>
      <c r="B35" t="s">
        <v>477</v>
      </c>
      <c r="C35" s="2" t="s">
        <v>479</v>
      </c>
      <c r="D35" t="str">
        <f>"Sr. Account Executive"</f>
        <v>Sr. Account Executive</v>
      </c>
      <c r="E35" t="s">
        <v>23</v>
      </c>
      <c r="F35" t="str">
        <f>"Salesforce/Tableau"</f>
        <v>Salesforce/Tableau</v>
      </c>
      <c r="G35" t="str">
        <f>"1-7037850159"</f>
        <v>1-7037850159</v>
      </c>
      <c r="H35" t="str">
        <f>"1406 Gordon Ave"</f>
        <v>1406 Gordon Ave</v>
      </c>
      <c r="I35" t="str">
        <f>"  "</f>
        <v xml:space="preserve">  </v>
      </c>
      <c r="J35" t="str">
        <f>"Thomasville"</f>
        <v>Thomasville</v>
      </c>
      <c r="K35" t="str">
        <f>"GA"</f>
        <v>GA</v>
      </c>
      <c r="L35" t="str">
        <f>"31792"</f>
        <v>31792</v>
      </c>
      <c r="M35" t="str">
        <f>"Large Business"</f>
        <v>Large Business</v>
      </c>
      <c r="N35" t="str">
        <f>""</f>
        <v/>
      </c>
    </row>
    <row r="36" spans="1:14" x14ac:dyDescent="0.35">
      <c r="A36" t="s">
        <v>183</v>
      </c>
      <c r="B36" t="s">
        <v>82</v>
      </c>
      <c r="C36" s="2" t="s">
        <v>184</v>
      </c>
      <c r="D36" t="str">
        <f>"VP, Growth, VA Portfolio"</f>
        <v>VP, Growth, VA Portfolio</v>
      </c>
      <c r="E36" s="1"/>
      <c r="F36" t="str">
        <f>"Cognosante"</f>
        <v>Cognosante</v>
      </c>
      <c r="G36" t="str">
        <f>"1-7035050226"</f>
        <v>1-7035050226</v>
      </c>
      <c r="H36" t="str">
        <f>"3110 Fairview Park Dr., Suite 800"</f>
        <v>3110 Fairview Park Dr., Suite 800</v>
      </c>
      <c r="I36" t="str">
        <f>"  "</f>
        <v xml:space="preserve">  </v>
      </c>
      <c r="J36" t="str">
        <f>"Falls Church"</f>
        <v>Falls Church</v>
      </c>
      <c r="K36" t="str">
        <f>"Virginia"</f>
        <v>Virginia</v>
      </c>
      <c r="L36" t="str">
        <f>"22042"</f>
        <v>22042</v>
      </c>
      <c r="M36" t="str">
        <f>"Large Business"</f>
        <v>Large Business</v>
      </c>
      <c r="N36" t="str">
        <f>"www.cognosante.com"</f>
        <v>www.cognosante.com</v>
      </c>
    </row>
    <row r="37" spans="1:14" x14ac:dyDescent="0.35">
      <c r="A37" t="s">
        <v>32</v>
      </c>
      <c r="B37" t="s">
        <v>31</v>
      </c>
      <c r="C37" s="2" t="s">
        <v>33</v>
      </c>
      <c r="D37" t="str">
        <f>"VP, Product Sales"</f>
        <v>VP, Product Sales</v>
      </c>
      <c r="E37" t="s">
        <v>34</v>
      </c>
      <c r="F37" t="str">
        <f>"NCI, Inc"</f>
        <v>NCI, Inc</v>
      </c>
      <c r="G37" t="str">
        <f>"1-5408198869"</f>
        <v>1-5408198869</v>
      </c>
      <c r="H37" t="str">
        <f>"5518 Fox Marsh Place"</f>
        <v>5518 Fox Marsh Place</v>
      </c>
      <c r="I37" t="str">
        <f>"  "</f>
        <v xml:space="preserve">  </v>
      </c>
      <c r="J37" t="str">
        <f>"Moseley"</f>
        <v>Moseley</v>
      </c>
      <c r="K37" t="str">
        <f>"VA"</f>
        <v>VA</v>
      </c>
      <c r="L37" t="str">
        <f>"23120"</f>
        <v>23120</v>
      </c>
      <c r="M37" t="str">
        <f>"N/A"</f>
        <v>N/A</v>
      </c>
      <c r="N37" t="str">
        <f>""</f>
        <v/>
      </c>
    </row>
    <row r="38" spans="1:14" x14ac:dyDescent="0.35">
      <c r="A38" t="s">
        <v>360</v>
      </c>
      <c r="B38" t="s">
        <v>38</v>
      </c>
      <c r="C38" s="2" t="s">
        <v>361</v>
      </c>
      <c r="D38" t="str">
        <f>"Client Relations"</f>
        <v>Client Relations</v>
      </c>
      <c r="E38" s="1"/>
      <c r="F38" t="str">
        <f>"Andrew Morgan Consulting"</f>
        <v>Andrew Morgan Consulting</v>
      </c>
      <c r="G38" t="str">
        <f>"1-7605488738"</f>
        <v>1-7605488738</v>
      </c>
      <c r="H38" t="str">
        <f>"1629 K Street, NW"</f>
        <v>1629 K Street, NW</v>
      </c>
      <c r="I38" t="str">
        <f>"Suite 300"</f>
        <v>Suite 300</v>
      </c>
      <c r="J38" t="str">
        <f>"Washington"</f>
        <v>Washington</v>
      </c>
      <c r="K38" t="str">
        <f>"DC"</f>
        <v>DC</v>
      </c>
      <c r="L38" t="str">
        <f>"20006"</f>
        <v>20006</v>
      </c>
      <c r="M38" t="str">
        <f>"SDVOSB|HUBZone|Small Business"</f>
        <v>SDVOSB|HUBZone|Small Business</v>
      </c>
      <c r="N38" t="str">
        <f>"https://www.andrewmorganconsulting.com"</f>
        <v>https://www.andrewmorganconsulting.com</v>
      </c>
    </row>
    <row r="39" spans="1:14" x14ac:dyDescent="0.35">
      <c r="A39" t="s">
        <v>465</v>
      </c>
      <c r="B39" t="s">
        <v>54</v>
      </c>
      <c r="C39" s="2" t="s">
        <v>466</v>
      </c>
      <c r="D39" t="str">
        <f>"EVP for Strategy and Implementation"</f>
        <v>EVP for Strategy and Implementation</v>
      </c>
      <c r="E39" s="1"/>
      <c r="F39" t="str">
        <f>"BizFlow Corp"</f>
        <v>BizFlow Corp</v>
      </c>
      <c r="G39" t="str">
        <f>"1-2402856762"</f>
        <v>1-2402856762</v>
      </c>
      <c r="H39" t="str">
        <f>"3141 Fairview Park Drive"</f>
        <v>3141 Fairview Park Drive</v>
      </c>
      <c r="I39" t="str">
        <f>"Suite 850"</f>
        <v>Suite 850</v>
      </c>
      <c r="J39" t="str">
        <f>"Falls Church"</f>
        <v>Falls Church</v>
      </c>
      <c r="K39" t="str">
        <f>"VA"</f>
        <v>VA</v>
      </c>
      <c r="L39" t="str">
        <f>"22042"</f>
        <v>22042</v>
      </c>
      <c r="M39" t="str">
        <f>"Small Business"</f>
        <v>Small Business</v>
      </c>
      <c r="N39" t="str">
        <f>""</f>
        <v/>
      </c>
    </row>
    <row r="40" spans="1:14" x14ac:dyDescent="0.35">
      <c r="A40" t="s">
        <v>83</v>
      </c>
      <c r="B40" t="s">
        <v>82</v>
      </c>
      <c r="C40" s="2" t="s">
        <v>84</v>
      </c>
      <c r="D40" t="str">
        <f>"Sr. Federal Account Executive"</f>
        <v>Sr. Federal Account Executive</v>
      </c>
      <c r="E40" t="s">
        <v>23</v>
      </c>
      <c r="F40" t="str">
        <f>"Vmware"</f>
        <v>Vmware</v>
      </c>
      <c r="G40" t="str">
        <f>"1-7576765940"</f>
        <v>1-7576765940</v>
      </c>
      <c r="H40" t="str">
        <f>"3401 Hillview Avenue"</f>
        <v>3401 Hillview Avenue</v>
      </c>
      <c r="I40" t="str">
        <f>"  "</f>
        <v xml:space="preserve">  </v>
      </c>
      <c r="J40" t="str">
        <f>"Palo Alto"</f>
        <v>Palo Alto</v>
      </c>
      <c r="K40" t="str">
        <f>"CA"</f>
        <v>CA</v>
      </c>
      <c r="L40" t="str">
        <f>"94304"</f>
        <v>94304</v>
      </c>
      <c r="M40" t="str">
        <f>"Large Business"</f>
        <v>Large Business</v>
      </c>
      <c r="N40" t="str">
        <f>""</f>
        <v/>
      </c>
    </row>
    <row r="41" spans="1:14" x14ac:dyDescent="0.35">
      <c r="A41" t="s">
        <v>135</v>
      </c>
      <c r="B41" t="s">
        <v>134</v>
      </c>
      <c r="C41" s="2" t="s">
        <v>136</v>
      </c>
      <c r="D41" t="str">
        <f>"Capture Manager"</f>
        <v>Capture Manager</v>
      </c>
      <c r="E41" s="1"/>
      <c r="F41" t="str">
        <f>"GRSi"</f>
        <v>GRSi</v>
      </c>
      <c r="G41" t="str">
        <f>"1-8433007223"</f>
        <v>1-8433007223</v>
      </c>
      <c r="H41" t="str">
        <f>"5895 Core Road"</f>
        <v>5895 Core Road</v>
      </c>
      <c r="I41" t="str">
        <f>"Suite 407"</f>
        <v>Suite 407</v>
      </c>
      <c r="J41" t="str">
        <f>"N. Charleston"</f>
        <v>N. Charleston</v>
      </c>
      <c r="K41" t="str">
        <f>"South Carolina"</f>
        <v>South Carolina</v>
      </c>
      <c r="L41" t="str">
        <f>"29406"</f>
        <v>29406</v>
      </c>
      <c r="M41" t="str">
        <f>"Large Business"</f>
        <v>Large Business</v>
      </c>
      <c r="N41" t="str">
        <f>"www.grsi.com"</f>
        <v>www.grsi.com</v>
      </c>
    </row>
    <row r="42" spans="1:14" x14ac:dyDescent="0.35">
      <c r="A42" t="s">
        <v>1005</v>
      </c>
      <c r="B42" t="s">
        <v>384</v>
      </c>
      <c r="C42" s="2" t="s">
        <v>1006</v>
      </c>
      <c r="D42" t="str">
        <f>"CEO"</f>
        <v>CEO</v>
      </c>
      <c r="E42" s="1"/>
      <c r="F42" t="str">
        <f>"Bracari"</f>
        <v>Bracari</v>
      </c>
      <c r="G42" t="str">
        <f>"1-13522582987"</f>
        <v>1-13522582987</v>
      </c>
      <c r="H42" t="str">
        <f>"1000 Johnnie Dodds Blvd #103-358"</f>
        <v>1000 Johnnie Dodds Blvd #103-358</v>
      </c>
      <c r="I42" t="str">
        <f>"  "</f>
        <v xml:space="preserve">  </v>
      </c>
      <c r="J42" t="str">
        <f>"Mount Pleasant"</f>
        <v>Mount Pleasant</v>
      </c>
      <c r="K42" t="str">
        <f>"SC"</f>
        <v>SC</v>
      </c>
      <c r="L42" t="str">
        <f>"29464"</f>
        <v>29464</v>
      </c>
      <c r="M42" t="str">
        <f>"WOSB"</f>
        <v>WOSB</v>
      </c>
      <c r="N42" t="str">
        <f>"Www.Bracari.com"</f>
        <v>Www.Bracari.com</v>
      </c>
    </row>
    <row r="43" spans="1:14" x14ac:dyDescent="0.35">
      <c r="A43" t="s">
        <v>467</v>
      </c>
      <c r="B43" t="s">
        <v>97</v>
      </c>
      <c r="C43" s="2" t="s">
        <v>742</v>
      </c>
      <c r="D43" t="str">
        <f>"PM"</f>
        <v>PM</v>
      </c>
      <c r="E43" t="s">
        <v>34</v>
      </c>
      <c r="F43" t="str">
        <f>"11000002857784"</f>
        <v>11000002857784</v>
      </c>
      <c r="G43" t="str">
        <f>"1-334202878"</f>
        <v>1-334202878</v>
      </c>
      <c r="H43" t="str">
        <f>"4403 W PRESCOTT ST"</f>
        <v>4403 W PRESCOTT ST</v>
      </c>
      <c r="I43" t="str">
        <f>"  "</f>
        <v xml:space="preserve">  </v>
      </c>
      <c r="J43" t="str">
        <f>"Tampa"</f>
        <v>Tampa</v>
      </c>
      <c r="K43" t="str">
        <f>"United States (+1)"</f>
        <v>United States (+1)</v>
      </c>
      <c r="L43" t="str">
        <f>"33616"</f>
        <v>33616</v>
      </c>
      <c r="M43" t="str">
        <f>"Large Business"</f>
        <v>Large Business</v>
      </c>
      <c r="N43" t="str">
        <f>""</f>
        <v/>
      </c>
    </row>
    <row r="44" spans="1:14" x14ac:dyDescent="0.35">
      <c r="A44" t="s">
        <v>467</v>
      </c>
      <c r="B44" t="s">
        <v>470</v>
      </c>
      <c r="C44" s="2" t="s">
        <v>880</v>
      </c>
      <c r="D44" t="str">
        <f>"Account Director"</f>
        <v>Account Director</v>
      </c>
      <c r="E44" t="s">
        <v>34</v>
      </c>
      <c r="F44" t="str">
        <f>"Appian"</f>
        <v>Appian</v>
      </c>
      <c r="G44" t="str">
        <f>"1-7033363575"</f>
        <v>1-7033363575</v>
      </c>
      <c r="H44" t="str">
        <f>"7950 Jones Branch Dr"</f>
        <v>7950 Jones Branch Dr</v>
      </c>
      <c r="I44" t="str">
        <f>"  "</f>
        <v xml:space="preserve">  </v>
      </c>
      <c r="J44" t="str">
        <f>"McLean"</f>
        <v>McLean</v>
      </c>
      <c r="K44" t="str">
        <f>"VA"</f>
        <v>VA</v>
      </c>
      <c r="L44" t="str">
        <f>"22102"</f>
        <v>22102</v>
      </c>
      <c r="M44" t="str">
        <f>"Large Business"</f>
        <v>Large Business</v>
      </c>
      <c r="N44" t="str">
        <f>""</f>
        <v/>
      </c>
    </row>
    <row r="45" spans="1:14" x14ac:dyDescent="0.35">
      <c r="A45" t="s">
        <v>186</v>
      </c>
      <c r="B45" t="s">
        <v>185</v>
      </c>
      <c r="C45" s="2" t="s">
        <v>187</v>
      </c>
      <c r="D45" t="str">
        <f>"Sr. Director"</f>
        <v>Sr. Director</v>
      </c>
      <c r="E45" t="s">
        <v>23</v>
      </c>
      <c r="F45" t="str">
        <f>"Cognosante"</f>
        <v>Cognosante</v>
      </c>
      <c r="G45" t="str">
        <f>"1-8138080707"</f>
        <v>1-8138080707</v>
      </c>
      <c r="H45" t="str">
        <f>"3110 Fairview Park Drive"</f>
        <v>3110 Fairview Park Drive</v>
      </c>
      <c r="I45" t="str">
        <f>"Suite 800"</f>
        <v>Suite 800</v>
      </c>
      <c r="J45" t="str">
        <f>"Falls Church"</f>
        <v>Falls Church</v>
      </c>
      <c r="K45" t="str">
        <f>"VA"</f>
        <v>VA</v>
      </c>
      <c r="L45" t="str">
        <f>"22042"</f>
        <v>22042</v>
      </c>
      <c r="M45" t="str">
        <f>"Large Business"</f>
        <v>Large Business</v>
      </c>
      <c r="N45" t="str">
        <f>"www.cognosante.com"</f>
        <v>www.cognosante.com</v>
      </c>
    </row>
    <row r="46" spans="1:14" x14ac:dyDescent="0.35">
      <c r="A46" t="s">
        <v>545</v>
      </c>
      <c r="B46" t="s">
        <v>391</v>
      </c>
      <c r="C46" s="2" t="s">
        <v>546</v>
      </c>
      <c r="D46" t="str">
        <f>"Sr Account Executive"</f>
        <v>Sr Account Executive</v>
      </c>
      <c r="E46" t="s">
        <v>23</v>
      </c>
      <c r="F46" t="str">
        <f>"ServiceNow"</f>
        <v>ServiceNow</v>
      </c>
      <c r="G46" t="str">
        <f>"1-7209825141"</f>
        <v>1-7209825141</v>
      </c>
      <c r="H46" t="str">
        <f>"8045 Leesburg Pike Suite T3-300"</f>
        <v>8045 Leesburg Pike Suite T3-300</v>
      </c>
      <c r="I46" t="str">
        <f>"  "</f>
        <v xml:space="preserve">  </v>
      </c>
      <c r="J46" t="str">
        <f>"vienna"</f>
        <v>vienna</v>
      </c>
      <c r="K46" t="str">
        <f>"Virginia"</f>
        <v>Virginia</v>
      </c>
      <c r="L46" t="str">
        <f>"22182"</f>
        <v>22182</v>
      </c>
      <c r="M46" t="str">
        <f>"Large Business"</f>
        <v>Large Business</v>
      </c>
      <c r="N46" t="str">
        <f>"servicenow.com"</f>
        <v>servicenow.com</v>
      </c>
    </row>
    <row r="47" spans="1:14" x14ac:dyDescent="0.35">
      <c r="A47" t="s">
        <v>410</v>
      </c>
      <c r="B47" t="s">
        <v>27</v>
      </c>
      <c r="C47" s="2" t="s">
        <v>411</v>
      </c>
      <c r="D47" t="str">
        <f>"COO"</f>
        <v>COO</v>
      </c>
      <c r="E47" s="1"/>
      <c r="F47" t="str">
        <f>"Technatomy"</f>
        <v>Technatomy</v>
      </c>
      <c r="G47" t="str">
        <f>"1-7032685525"</f>
        <v>1-7032685525</v>
      </c>
      <c r="H47" t="str">
        <f>"3877 Fairfax Ridge Road"</f>
        <v>3877 Fairfax Ridge Road</v>
      </c>
      <c r="I47" t="str">
        <f>"Suite 205C"</f>
        <v>Suite 205C</v>
      </c>
      <c r="J47" t="str">
        <f>"Fairfax"</f>
        <v>Fairfax</v>
      </c>
      <c r="K47" t="str">
        <f>"VA"</f>
        <v>VA</v>
      </c>
      <c r="L47" t="str">
        <f>"22030"</f>
        <v>22030</v>
      </c>
      <c r="M47" t="str">
        <f>"SDVOSB"</f>
        <v>SDVOSB</v>
      </c>
      <c r="N47" t="str">
        <f>"www.technatomy.com"</f>
        <v>www.technatomy.com</v>
      </c>
    </row>
    <row r="48" spans="1:14" x14ac:dyDescent="0.35">
      <c r="A48" t="s">
        <v>160</v>
      </c>
      <c r="B48" t="s">
        <v>103</v>
      </c>
      <c r="C48" s="2" t="s">
        <v>650</v>
      </c>
      <c r="D48" t="str">
        <f>"General Counsel"</f>
        <v>General Counsel</v>
      </c>
      <c r="E48" t="s">
        <v>22</v>
      </c>
      <c r="F48" t="str">
        <f>"AvaSure"</f>
        <v>AvaSure</v>
      </c>
      <c r="G48" t="str">
        <f>"1-8007361784"</f>
        <v>1-8007361784</v>
      </c>
      <c r="H48" t="str">
        <f>"5801 Safety Drive NE"</f>
        <v>5801 Safety Drive NE</v>
      </c>
      <c r="I48" t="str">
        <f>"  "</f>
        <v xml:space="preserve">  </v>
      </c>
      <c r="J48" t="str">
        <f>"Belmont"</f>
        <v>Belmont</v>
      </c>
      <c r="K48" t="str">
        <f>"Michigan"</f>
        <v>Michigan</v>
      </c>
      <c r="L48" t="str">
        <f>"49306"</f>
        <v>49306</v>
      </c>
      <c r="M48" t="str">
        <f>"N/A"</f>
        <v>N/A</v>
      </c>
      <c r="N48" t="str">
        <f>"www.avasure.com"</f>
        <v>www.avasure.com</v>
      </c>
    </row>
    <row r="49" spans="1:14" x14ac:dyDescent="0.35">
      <c r="A49" t="s">
        <v>500</v>
      </c>
      <c r="B49" t="s">
        <v>499</v>
      </c>
      <c r="C49" s="2" t="s">
        <v>501</v>
      </c>
      <c r="D49" t="str">
        <f>"Capture Manager"</f>
        <v>Capture Manager</v>
      </c>
      <c r="E49" s="1"/>
      <c r="F49" t="str">
        <f>"JCTM"</f>
        <v>JCTM</v>
      </c>
      <c r="G49" t="str">
        <f>"1-19103305037"</f>
        <v>1-19103305037</v>
      </c>
      <c r="H49" t="str">
        <f>"8446 NC HWY 55 EAST"</f>
        <v>8446 NC HWY 55 EAST</v>
      </c>
      <c r="I49" t="str">
        <f>"  "</f>
        <v xml:space="preserve">  </v>
      </c>
      <c r="J49" t="str">
        <f>"New Bern"</f>
        <v>New Bern</v>
      </c>
      <c r="K49" t="str">
        <f>"NC"</f>
        <v>NC</v>
      </c>
      <c r="L49" t="str">
        <f>"28560"</f>
        <v>28560</v>
      </c>
      <c r="M49" t="str">
        <f>"8(A)|SDVOSB|Small Business"</f>
        <v>8(A)|SDVOSB|Small Business</v>
      </c>
      <c r="N49" t="str">
        <f>"jctm.us"</f>
        <v>jctm.us</v>
      </c>
    </row>
    <row r="50" spans="1:14" x14ac:dyDescent="0.35">
      <c r="A50" t="s">
        <v>900</v>
      </c>
      <c r="B50" t="s">
        <v>27</v>
      </c>
      <c r="C50" s="2" t="s">
        <v>901</v>
      </c>
      <c r="D50" t="str">
        <f>"Public Sector Business Development"</f>
        <v>Public Sector Business Development</v>
      </c>
      <c r="E50" t="s">
        <v>22</v>
      </c>
      <c r="F50" t="str">
        <f>"Bugcrowd"</f>
        <v>Bugcrowd</v>
      </c>
      <c r="G50" t="str">
        <f>"1-7033384989"</f>
        <v>1-7033384989</v>
      </c>
      <c r="H50" t="str">
        <f>"10420 Lake Ridge Dr"</f>
        <v>10420 Lake Ridge Dr</v>
      </c>
      <c r="I50" t="str">
        <f>"  "</f>
        <v xml:space="preserve">  </v>
      </c>
      <c r="J50" t="str">
        <f>"Oakton"</f>
        <v>Oakton</v>
      </c>
      <c r="K50" t="str">
        <f>"Virginia"</f>
        <v>Virginia</v>
      </c>
      <c r="L50" t="str">
        <f>"22124"</f>
        <v>22124</v>
      </c>
      <c r="M50" t="str">
        <f>"N/A"</f>
        <v>N/A</v>
      </c>
      <c r="N50" t="str">
        <f>"https://www.bugcrowd.com/solutions/government/"</f>
        <v>https://www.bugcrowd.com/solutions/government/</v>
      </c>
    </row>
    <row r="51" spans="1:14" x14ac:dyDescent="0.35">
      <c r="A51" t="s">
        <v>1073</v>
      </c>
      <c r="B51" t="s">
        <v>1072</v>
      </c>
      <c r="C51" s="2" t="s">
        <v>1074</v>
      </c>
      <c r="D51" t="str">
        <f>"Director of Proposal Development"</f>
        <v>Director of Proposal Development</v>
      </c>
      <c r="E51" s="1"/>
      <c r="F51" t="str">
        <f>"PingWind Inc"</f>
        <v>PingWind Inc</v>
      </c>
      <c r="G51" t="str">
        <f>"1-13016394974"</f>
        <v>1-13016394974</v>
      </c>
      <c r="H51" t="str">
        <f>"7630 Little River Tpke Ste 205"</f>
        <v>7630 Little River Tpke Ste 205</v>
      </c>
      <c r="I51" t="str">
        <f>"  "</f>
        <v xml:space="preserve">  </v>
      </c>
      <c r="J51" t="str">
        <f>"Annandale"</f>
        <v>Annandale</v>
      </c>
      <c r="K51" t="str">
        <f>"VA"</f>
        <v>VA</v>
      </c>
      <c r="L51" t="str">
        <f>"22003"</f>
        <v>22003</v>
      </c>
      <c r="M51" t="str">
        <f>"SDVOSB"</f>
        <v>SDVOSB</v>
      </c>
      <c r="N51" t="str">
        <f>"www.pingwind.com"</f>
        <v>www.pingwind.com</v>
      </c>
    </row>
    <row r="52" spans="1:14" x14ac:dyDescent="0.35">
      <c r="A52" t="s">
        <v>329</v>
      </c>
      <c r="B52" t="s">
        <v>328</v>
      </c>
      <c r="C52" s="2" t="s">
        <v>330</v>
      </c>
      <c r="D52" t="str">
        <f>"President &amp; CEO"</f>
        <v>President &amp; CEO</v>
      </c>
      <c r="E52" s="1"/>
      <c r="F52" t="str">
        <f>"Maveris"</f>
        <v>Maveris</v>
      </c>
      <c r="G52" t="str">
        <f>"1-3043152786"</f>
        <v>1-3043152786</v>
      </c>
      <c r="H52" t="str">
        <f>"126 E Burke St Ste 19"</f>
        <v>126 E Burke St Ste 19</v>
      </c>
      <c r="I52" t="str">
        <f>"  "</f>
        <v xml:space="preserve">  </v>
      </c>
      <c r="J52" t="str">
        <f>"Martinsburg"</f>
        <v>Martinsburg</v>
      </c>
      <c r="K52" t="str">
        <f>"WV"</f>
        <v>WV</v>
      </c>
      <c r="L52" t="str">
        <f>"25401"</f>
        <v>25401</v>
      </c>
      <c r="M52" t="str">
        <f>"SDVOSB|VOSB|Small Business"</f>
        <v>SDVOSB|VOSB|Small Business</v>
      </c>
      <c r="N52" t="str">
        <f>"https://maveris.com"</f>
        <v>https://maveris.com</v>
      </c>
    </row>
    <row r="53" spans="1:14" x14ac:dyDescent="0.35">
      <c r="A53" t="s">
        <v>1095</v>
      </c>
      <c r="B53" t="s">
        <v>1094</v>
      </c>
      <c r="C53" s="2" t="s">
        <v>1096</v>
      </c>
      <c r="D53" t="str">
        <f>"RN"</f>
        <v>RN</v>
      </c>
      <c r="E53" s="1"/>
      <c r="F53" t="str">
        <f>"Monarch Medical Technologies"</f>
        <v>Monarch Medical Technologies</v>
      </c>
      <c r="G53" t="str">
        <f>"1-7605835199"</f>
        <v>1-7605835199</v>
      </c>
      <c r="H53" t="str">
        <f>"2137 South Blvd. Suite 300"</f>
        <v>2137 South Blvd. Suite 300</v>
      </c>
      <c r="I53" t="str">
        <f>"  "</f>
        <v xml:space="preserve">  </v>
      </c>
      <c r="J53" t="str">
        <f>"Charlotte"</f>
        <v>Charlotte</v>
      </c>
      <c r="K53" t="str">
        <f>"NC"</f>
        <v>NC</v>
      </c>
      <c r="L53" t="str">
        <f>"28203"</f>
        <v>28203</v>
      </c>
      <c r="M53" t="str">
        <f>"Small Business"</f>
        <v>Small Business</v>
      </c>
      <c r="N53" t="str">
        <f>""</f>
        <v/>
      </c>
    </row>
    <row r="54" spans="1:14" x14ac:dyDescent="0.35">
      <c r="A54" t="s">
        <v>682</v>
      </c>
      <c r="B54" t="s">
        <v>681</v>
      </c>
      <c r="C54" s="2" t="s">
        <v>683</v>
      </c>
      <c r="D54" t="str">
        <f>"Business Development mgr"</f>
        <v>Business Development mgr</v>
      </c>
      <c r="E54" t="s">
        <v>23</v>
      </c>
      <c r="F54" t="str">
        <f>"adobe"</f>
        <v>adobe</v>
      </c>
      <c r="G54" t="str">
        <f>"1-7039804985"</f>
        <v>1-7039804985</v>
      </c>
      <c r="H54" t="str">
        <f>"7930 Jones Branch Drive"</f>
        <v>7930 Jones Branch Drive</v>
      </c>
      <c r="I54" t="str">
        <f>"5th Floor"</f>
        <v>5th Floor</v>
      </c>
      <c r="J54" t="str">
        <f>"McLean"</f>
        <v>McLean</v>
      </c>
      <c r="K54" t="str">
        <f>"virginia"</f>
        <v>virginia</v>
      </c>
      <c r="L54" t="str">
        <f>"22102"</f>
        <v>22102</v>
      </c>
      <c r="M54" t="str">
        <f>"Large Business"</f>
        <v>Large Business</v>
      </c>
      <c r="N54" t="str">
        <f>"www.adobe.com"</f>
        <v>www.adobe.com</v>
      </c>
    </row>
    <row r="55" spans="1:14" x14ac:dyDescent="0.35">
      <c r="A55" t="s">
        <v>455</v>
      </c>
      <c r="B55" t="s">
        <v>454</v>
      </c>
      <c r="C55" s="2" t="s">
        <v>456</v>
      </c>
      <c r="D55" t="str">
        <f>"Capture Manager"</f>
        <v>Capture Manager</v>
      </c>
      <c r="E55" s="1"/>
      <c r="F55" t="str">
        <f>"Sierra7, Inc."</f>
        <v>Sierra7, Inc.</v>
      </c>
      <c r="G55" t="str">
        <f>"1-4107251155"</f>
        <v>1-4107251155</v>
      </c>
      <c r="H55" t="str">
        <f>"3190 Fairview Park Drive, Suite 350"</f>
        <v>3190 Fairview Park Drive, Suite 350</v>
      </c>
      <c r="I55" t="str">
        <f>"  "</f>
        <v xml:space="preserve">  </v>
      </c>
      <c r="J55" t="str">
        <f>"Falls Church"</f>
        <v>Falls Church</v>
      </c>
      <c r="K55" t="str">
        <f>"VA"</f>
        <v>VA</v>
      </c>
      <c r="L55" t="str">
        <f>"22042"</f>
        <v>22042</v>
      </c>
      <c r="M55" t="str">
        <f>"SDVOSB|VOSB|Small Business"</f>
        <v>SDVOSB|VOSB|Small Business</v>
      </c>
      <c r="N55" t="str">
        <f>"www.sierra7.com"</f>
        <v>www.sierra7.com</v>
      </c>
    </row>
    <row r="56" spans="1:14" x14ac:dyDescent="0.35">
      <c r="A56" t="s">
        <v>455</v>
      </c>
      <c r="B56" t="s">
        <v>468</v>
      </c>
      <c r="C56" s="2" t="s">
        <v>469</v>
      </c>
      <c r="D56" t="str">
        <f>"Partner"</f>
        <v>Partner</v>
      </c>
      <c r="E56" s="1"/>
      <c r="F56" t="str">
        <f>"Decisive Point Consulting Group"</f>
        <v>Decisive Point Consulting Group</v>
      </c>
      <c r="G56" t="str">
        <f>"1-254-702-4731"</f>
        <v>1-254-702-4731</v>
      </c>
      <c r="H56" t="str">
        <f>"7215 Bosque Blvd, Suite 136"</f>
        <v>7215 Bosque Blvd, Suite 136</v>
      </c>
      <c r="I56" t="str">
        <f>"  "</f>
        <v xml:space="preserve">  </v>
      </c>
      <c r="J56" t="str">
        <f>"Waco"</f>
        <v>Waco</v>
      </c>
      <c r="K56" t="str">
        <f>"TX"</f>
        <v>TX</v>
      </c>
      <c r="L56" t="str">
        <f>"76710"</f>
        <v>76710</v>
      </c>
      <c r="M56" t="str">
        <f>"SDVOSB|VOSB|Small Business"</f>
        <v>SDVOSB|VOSB|Small Business</v>
      </c>
      <c r="N56" t="str">
        <f>"https://www.decisivepointconsulting.com/"</f>
        <v>https://www.decisivepointconsulting.com/</v>
      </c>
    </row>
    <row r="57" spans="1:14" x14ac:dyDescent="0.35">
      <c r="A57" t="s">
        <v>192</v>
      </c>
      <c r="B57" t="s">
        <v>38</v>
      </c>
      <c r="C57" s="2" t="s">
        <v>193</v>
      </c>
      <c r="D57" t="str">
        <f>"Chief Growth Officer"</f>
        <v>Chief Growth Officer</v>
      </c>
      <c r="E57" s="1"/>
      <c r="F57" t="str">
        <f>"Veteran Technology Leaders"</f>
        <v>Veteran Technology Leaders</v>
      </c>
      <c r="G57" t="str">
        <f>"1-7039324657"</f>
        <v>1-7039324657</v>
      </c>
      <c r="H57" t="str">
        <f>"13918 Overton Lane"</f>
        <v>13918 Overton Lane</v>
      </c>
      <c r="I57" t="str">
        <f>"  "</f>
        <v xml:space="preserve">  </v>
      </c>
      <c r="J57" t="str">
        <f>"Silver Spring"</f>
        <v>Silver Spring</v>
      </c>
      <c r="K57" t="str">
        <f>"MD"</f>
        <v>MD</v>
      </c>
      <c r="L57" t="str">
        <f>"20904"</f>
        <v>20904</v>
      </c>
      <c r="M57" t="str">
        <f>"8(A)|SDVOSB|VOSB|Small Business|Small Disadvantaged Business"</f>
        <v>8(A)|SDVOSB|VOSB|Small Business|Small Disadvantaged Business</v>
      </c>
      <c r="N57" t="str">
        <f>"www.vtleaders.com"</f>
        <v>www.vtleaders.com</v>
      </c>
    </row>
    <row r="58" spans="1:14" x14ac:dyDescent="0.35">
      <c r="A58" t="s">
        <v>688</v>
      </c>
      <c r="B58" t="s">
        <v>223</v>
      </c>
      <c r="C58" s="2" t="s">
        <v>689</v>
      </c>
      <c r="D58" t="str">
        <f>"Vice President"</f>
        <v>Vice President</v>
      </c>
      <c r="E58" t="s">
        <v>23</v>
      </c>
      <c r="F58" t="str">
        <f>"SAIC"</f>
        <v>SAIC</v>
      </c>
      <c r="G58" t="str">
        <f>"1-5712652759"</f>
        <v>1-5712652759</v>
      </c>
      <c r="H58" t="str">
        <f>"12010 Sunset Hills Road"</f>
        <v>12010 Sunset Hills Road</v>
      </c>
      <c r="I58" t="str">
        <f>"  "</f>
        <v xml:space="preserve">  </v>
      </c>
      <c r="J58" t="str">
        <f>"Reston"</f>
        <v>Reston</v>
      </c>
      <c r="K58" t="str">
        <f>"VA"</f>
        <v>VA</v>
      </c>
      <c r="L58" t="str">
        <f>"20190"</f>
        <v>20190</v>
      </c>
      <c r="M58" t="str">
        <f>"Large Business"</f>
        <v>Large Business</v>
      </c>
      <c r="N58" t="str">
        <f>""</f>
        <v/>
      </c>
    </row>
    <row r="59" spans="1:14" x14ac:dyDescent="0.35">
      <c r="A59" t="s">
        <v>585</v>
      </c>
      <c r="B59" t="s">
        <v>584</v>
      </c>
      <c r="C59" s="2" t="s">
        <v>586</v>
      </c>
      <c r="D59" t="str">
        <f>"Fed Sales"</f>
        <v>Fed Sales</v>
      </c>
      <c r="E59" s="1"/>
      <c r="F59" t="str">
        <f>"Zscaler"</f>
        <v>Zscaler</v>
      </c>
      <c r="G59" t="str">
        <f>"1-5714264737"</f>
        <v>1-5714264737</v>
      </c>
      <c r="H59" t="str">
        <f>"7900 Westpark Dr"</f>
        <v>7900 Westpark Dr</v>
      </c>
      <c r="I59" t="str">
        <f>"  "</f>
        <v xml:space="preserve">  </v>
      </c>
      <c r="J59" t="str">
        <f>"Vienna"</f>
        <v>Vienna</v>
      </c>
      <c r="K59" t="str">
        <f>"VA"</f>
        <v>VA</v>
      </c>
      <c r="L59" t="str">
        <f>"22180"</f>
        <v>22180</v>
      </c>
      <c r="M59" t="str">
        <f>"Large Business"</f>
        <v>Large Business</v>
      </c>
      <c r="N59" t="str">
        <f>""</f>
        <v/>
      </c>
    </row>
    <row r="60" spans="1:14" x14ac:dyDescent="0.35">
      <c r="A60" t="s">
        <v>340</v>
      </c>
      <c r="B60" t="s">
        <v>339</v>
      </c>
      <c r="C60" s="2" t="s">
        <v>341</v>
      </c>
      <c r="D60" t="str">
        <f>"Storage Account Exec"</f>
        <v>Storage Account Exec</v>
      </c>
      <c r="E60" t="s">
        <v>23</v>
      </c>
      <c r="F60" t="str">
        <f>"IBM"</f>
        <v>IBM</v>
      </c>
      <c r="G60" t="str">
        <f>"1-2025151902"</f>
        <v>1-2025151902</v>
      </c>
      <c r="H60" t="str">
        <f>"6710 Rockledge dr."</f>
        <v>6710 Rockledge dr.</v>
      </c>
      <c r="I60" t="str">
        <f>"  "</f>
        <v xml:space="preserve">  </v>
      </c>
      <c r="J60" t="str">
        <f>"Bethesda"</f>
        <v>Bethesda</v>
      </c>
      <c r="K60" t="str">
        <f>"Maryland"</f>
        <v>Maryland</v>
      </c>
      <c r="L60" t="str">
        <f>"20810"</f>
        <v>20810</v>
      </c>
      <c r="M60" t="str">
        <f>"N/A"</f>
        <v>N/A</v>
      </c>
      <c r="N60" t="str">
        <f>"ibm.com"</f>
        <v>ibm.com</v>
      </c>
    </row>
    <row r="61" spans="1:14" x14ac:dyDescent="0.35">
      <c r="A61" t="s">
        <v>1021</v>
      </c>
      <c r="B61" t="s">
        <v>331</v>
      </c>
      <c r="C61" s="2" t="s">
        <v>1022</v>
      </c>
      <c r="D61" t="str">
        <f>"Capture/Proposal Manager"</f>
        <v>Capture/Proposal Manager</v>
      </c>
      <c r="E61" s="1"/>
      <c r="F61" t="str">
        <f>"Tucker-Rose Associates, LLC"</f>
        <v>Tucker-Rose Associates, LLC</v>
      </c>
      <c r="G61" t="str">
        <f>"1-2106878185"</f>
        <v>1-2106878185</v>
      </c>
      <c r="H61" t="str">
        <f>"2405 IH-35 South"</f>
        <v>2405 IH-35 South</v>
      </c>
      <c r="I61" t="str">
        <f>"  "</f>
        <v xml:space="preserve">  </v>
      </c>
      <c r="J61" t="str">
        <f>"New Braunfels"</f>
        <v>New Braunfels</v>
      </c>
      <c r="K61" t="str">
        <f>"Texas"</f>
        <v>Texas</v>
      </c>
      <c r="L61" t="str">
        <f>"78130"</f>
        <v>78130</v>
      </c>
      <c r="M61" t="str">
        <f>"SDVOSB|VOSB"</f>
        <v>SDVOSB|VOSB</v>
      </c>
      <c r="N61" t="str">
        <f>"www.tuckerroseassociates.com"</f>
        <v>www.tuckerroseassociates.com</v>
      </c>
    </row>
    <row r="62" spans="1:14" x14ac:dyDescent="0.35">
      <c r="A62" t="s">
        <v>504</v>
      </c>
      <c r="B62" t="s">
        <v>97</v>
      </c>
      <c r="C62" s="2" t="s">
        <v>505</v>
      </c>
      <c r="D62" t="str">
        <f>"Vice President Information Technology"</f>
        <v>Vice President Information Technology</v>
      </c>
      <c r="E62" t="s">
        <v>22</v>
      </c>
      <c r="F62" t="str">
        <f>"Trilogy Federal"</f>
        <v>Trilogy Federal</v>
      </c>
      <c r="G62" t="str">
        <f>"1-3017088315"</f>
        <v>1-3017088315</v>
      </c>
      <c r="H62" t="str">
        <f>"1100 Wilson Blvd"</f>
        <v>1100 Wilson Blvd</v>
      </c>
      <c r="I62" t="str">
        <f>"Suite 1100"</f>
        <v>Suite 1100</v>
      </c>
      <c r="J62" t="str">
        <f>"Arlington"</f>
        <v>Arlington</v>
      </c>
      <c r="K62" t="str">
        <f>"VA"</f>
        <v>VA</v>
      </c>
      <c r="L62" t="str">
        <f>"22209"</f>
        <v>22209</v>
      </c>
      <c r="M62" t="str">
        <f>"SDVOSB|Small Business"</f>
        <v>SDVOSB|Small Business</v>
      </c>
      <c r="N62" t="str">
        <f>"trilogyfederal.com"</f>
        <v>trilogyfederal.com</v>
      </c>
    </row>
    <row r="63" spans="1:14" x14ac:dyDescent="0.35">
      <c r="A63" t="s">
        <v>934</v>
      </c>
      <c r="B63" t="s">
        <v>933</v>
      </c>
      <c r="C63" s="2" t="s">
        <v>935</v>
      </c>
      <c r="D63" t="str">
        <f>"Manager, Health Sector Growth"</f>
        <v>Manager, Health Sector Growth</v>
      </c>
      <c r="E63" s="1"/>
      <c r="F63" t="str">
        <f>"PSI"</f>
        <v>PSI</v>
      </c>
      <c r="G63" t="str">
        <f>"1-4104042176"</f>
        <v>1-4104042176</v>
      </c>
      <c r="H63" t="str">
        <f>"3717 Columbia Pike"</f>
        <v>3717 Columbia Pike</v>
      </c>
      <c r="I63" t="str">
        <f>"  "</f>
        <v xml:space="preserve">  </v>
      </c>
      <c r="J63" t="str">
        <f>"Arlington"</f>
        <v>Arlington</v>
      </c>
      <c r="K63" t="str">
        <f>"VA"</f>
        <v>VA</v>
      </c>
      <c r="L63" t="str">
        <f>"20004"</f>
        <v>20004</v>
      </c>
      <c r="M63" t="str">
        <f>"Large Business"</f>
        <v>Large Business</v>
      </c>
      <c r="N63" t="str">
        <f>""</f>
        <v/>
      </c>
    </row>
    <row r="64" spans="1:14" x14ac:dyDescent="0.35">
      <c r="A64" t="s">
        <v>335</v>
      </c>
      <c r="B64" t="s">
        <v>38</v>
      </c>
      <c r="C64" s="2" t="s">
        <v>725</v>
      </c>
      <c r="D64" t="str">
        <f>"Strategic Accounts Manager"</f>
        <v>Strategic Accounts Manager</v>
      </c>
      <c r="E64" s="1"/>
      <c r="F64" t="str">
        <f>"Kaizen Approach"</f>
        <v>Kaizen Approach</v>
      </c>
      <c r="G64" t="str">
        <f>"1-5712465914"</f>
        <v>1-5712465914</v>
      </c>
      <c r="H64" t="str">
        <f>"7050 Hi Tech Drive"</f>
        <v>7050 Hi Tech Drive</v>
      </c>
      <c r="I64" t="str">
        <f>"Suite 100"</f>
        <v>Suite 100</v>
      </c>
      <c r="J64" t="str">
        <f>"Hanover"</f>
        <v>Hanover</v>
      </c>
      <c r="K64" t="str">
        <f>"Maryland"</f>
        <v>Maryland</v>
      </c>
      <c r="L64" t="str">
        <f>"21076"</f>
        <v>21076</v>
      </c>
      <c r="M64" t="str">
        <f>"SDVOSB|VOSB|Small Business"</f>
        <v>SDVOSB|VOSB|Small Business</v>
      </c>
      <c r="N64" t="str">
        <f>"www.kaizenapproach.com"</f>
        <v>www.kaizenapproach.com</v>
      </c>
    </row>
    <row r="65" spans="1:14" x14ac:dyDescent="0.35">
      <c r="A65" t="s">
        <v>1085</v>
      </c>
      <c r="B65" t="s">
        <v>188</v>
      </c>
      <c r="C65" s="2" t="s">
        <v>1086</v>
      </c>
      <c r="D65" t="str">
        <f>"VP, Business Dev"</f>
        <v>VP, Business Dev</v>
      </c>
      <c r="E65" t="s">
        <v>23</v>
      </c>
      <c r="F65" t="str">
        <f>"Optum"</f>
        <v>Optum</v>
      </c>
      <c r="G65" t="str">
        <f>"1-9043169422"</f>
        <v>1-9043169422</v>
      </c>
      <c r="H65" t="str">
        <f>"3160 Fairview Park Drive, Suite 600"</f>
        <v>3160 Fairview Park Drive, Suite 600</v>
      </c>
      <c r="I65" t="str">
        <f>"  "</f>
        <v xml:space="preserve">  </v>
      </c>
      <c r="J65" t="str">
        <f>"Falls Church"</f>
        <v>Falls Church</v>
      </c>
      <c r="K65" t="str">
        <f>"VA"</f>
        <v>VA</v>
      </c>
      <c r="L65" t="str">
        <f>"22042"</f>
        <v>22042</v>
      </c>
      <c r="M65" t="str">
        <f>"Large Business"</f>
        <v>Large Business</v>
      </c>
      <c r="N65" t="str">
        <f>"www.optum.com"</f>
        <v>www.optum.com</v>
      </c>
    </row>
    <row r="66" spans="1:14" x14ac:dyDescent="0.35">
      <c r="A66" t="s">
        <v>729</v>
      </c>
      <c r="B66" t="s">
        <v>305</v>
      </c>
      <c r="C66" s="2" t="s">
        <v>988</v>
      </c>
      <c r="D66" t="str">
        <f>"Director"</f>
        <v>Director</v>
      </c>
      <c r="E66" s="1"/>
      <c r="F66" t="str">
        <f>"CGI Federal"</f>
        <v>CGI Federal</v>
      </c>
      <c r="G66" t="str">
        <f>"1-2028704088"</f>
        <v>1-2028704088</v>
      </c>
      <c r="H66" t="str">
        <f>"913 Briggsdale Ct"</f>
        <v>913 Briggsdale Ct</v>
      </c>
      <c r="I66" t="str">
        <f>"  "</f>
        <v xml:space="preserve">  </v>
      </c>
      <c r="J66" t="str">
        <f>"Gambrills"</f>
        <v>Gambrills</v>
      </c>
      <c r="K66" t="str">
        <f>"Maryland"</f>
        <v>Maryland</v>
      </c>
      <c r="L66" t="str">
        <f>"21054"</f>
        <v>21054</v>
      </c>
      <c r="M66" t="str">
        <f>"Large Business"</f>
        <v>Large Business</v>
      </c>
      <c r="N66" t="str">
        <f>""</f>
        <v/>
      </c>
    </row>
    <row r="67" spans="1:14" x14ac:dyDescent="0.35">
      <c r="A67" t="s">
        <v>324</v>
      </c>
      <c r="B67" t="s">
        <v>323</v>
      </c>
      <c r="C67" s="2" t="s">
        <v>325</v>
      </c>
      <c r="D67" t="str">
        <f>"CSO"</f>
        <v>CSO</v>
      </c>
      <c r="E67" s="1"/>
      <c r="F67" t="str">
        <f>"Pingwind"</f>
        <v>Pingwind</v>
      </c>
      <c r="G67" t="str">
        <f>"1-3219173723"</f>
        <v>1-3219173723</v>
      </c>
      <c r="H67" t="str">
        <f>"7630 Little River Turnpike"</f>
        <v>7630 Little River Turnpike</v>
      </c>
      <c r="I67" t="str">
        <f>"  "</f>
        <v xml:space="preserve">  </v>
      </c>
      <c r="J67" t="str">
        <f>"Annandale"</f>
        <v>Annandale</v>
      </c>
      <c r="K67" t="str">
        <f>"VA"</f>
        <v>VA</v>
      </c>
      <c r="L67" t="str">
        <f>"22003"</f>
        <v>22003</v>
      </c>
      <c r="M67" t="str">
        <f>"SDVOSB|VOSB|HUBZone"</f>
        <v>SDVOSB|VOSB|HUBZone</v>
      </c>
      <c r="N67" t="str">
        <f>"https://www.pingwind.com/"</f>
        <v>https://www.pingwind.com/</v>
      </c>
    </row>
    <row r="68" spans="1:14" x14ac:dyDescent="0.35">
      <c r="A68" t="s">
        <v>319</v>
      </c>
      <c r="B68" t="s">
        <v>318</v>
      </c>
      <c r="C68" s="2" t="s">
        <v>320</v>
      </c>
      <c r="D68" t="str">
        <f>"CLIENT EXECUTIVE III"</f>
        <v>CLIENT EXECUTIVE III</v>
      </c>
      <c r="E68" t="s">
        <v>23</v>
      </c>
      <c r="F68" t="str">
        <f>"AT&amp;T"</f>
        <v>AT&amp;T</v>
      </c>
      <c r="G68" t="str">
        <f>"1-7868150404"</f>
        <v>1-7868150404</v>
      </c>
      <c r="H68" t="str">
        <f>"3033 Chain Bridge Rd"</f>
        <v>3033 Chain Bridge Rd</v>
      </c>
      <c r="I68" t="str">
        <f>"  "</f>
        <v xml:space="preserve">  </v>
      </c>
      <c r="J68" t="str">
        <f>"OAKTON"</f>
        <v>OAKTON</v>
      </c>
      <c r="K68" t="str">
        <f>"VA"</f>
        <v>VA</v>
      </c>
      <c r="L68" t="str">
        <f>"22124"</f>
        <v>22124</v>
      </c>
      <c r="M68" t="str">
        <f>"Large Business"</f>
        <v>Large Business</v>
      </c>
      <c r="N68" t="str">
        <f>""</f>
        <v/>
      </c>
    </row>
    <row r="69" spans="1:14" x14ac:dyDescent="0.35">
      <c r="A69" t="s">
        <v>600</v>
      </c>
      <c r="B69" t="s">
        <v>255</v>
      </c>
      <c r="C69" s="2" t="s">
        <v>601</v>
      </c>
      <c r="D69" t="str">
        <f>"Managing Member"</f>
        <v>Managing Member</v>
      </c>
      <c r="E69" s="1"/>
      <c r="F69" t="str">
        <f>"Sprezzatura Management Consulting LLC"</f>
        <v>Sprezzatura Management Consulting LLC</v>
      </c>
      <c r="G69" t="str">
        <f>"1-202-841-0644"</f>
        <v>1-202-841-0644</v>
      </c>
      <c r="H69" t="str">
        <f>"PO BOX 535"</f>
        <v>PO BOX 535</v>
      </c>
      <c r="I69" t="str">
        <f>"  "</f>
        <v xml:space="preserve">  </v>
      </c>
      <c r="J69" t="str">
        <f>"MCLEAN"</f>
        <v>MCLEAN</v>
      </c>
      <c r="K69" t="str">
        <f>"VA"</f>
        <v>VA</v>
      </c>
      <c r="L69" t="str">
        <f>"22101"</f>
        <v>22101</v>
      </c>
      <c r="M69" t="str">
        <f>"SDVOSB"</f>
        <v>SDVOSB</v>
      </c>
      <c r="N69" t="str">
        <f>"www.sprezzmc.com"</f>
        <v>www.sprezzmc.com</v>
      </c>
    </row>
    <row r="70" spans="1:14" x14ac:dyDescent="0.35">
      <c r="A70" t="s">
        <v>398</v>
      </c>
      <c r="B70" t="s">
        <v>97</v>
      </c>
      <c r="C70" s="2" t="s">
        <v>399</v>
      </c>
      <c r="D70" t="str">
        <f>"Program Analyst"</f>
        <v>Program Analyst</v>
      </c>
      <c r="E70" s="1"/>
      <c r="F70" t="str">
        <f>"Banc 3, Inc."</f>
        <v>Banc 3, Inc.</v>
      </c>
      <c r="G70" t="str">
        <f>"1-9086424773"</f>
        <v>1-9086424773</v>
      </c>
      <c r="H70" t="str">
        <f>"300 Alexander Park, Suite 110"</f>
        <v>300 Alexander Park, Suite 110</v>
      </c>
      <c r="I70" t="str">
        <f>"  "</f>
        <v xml:space="preserve">  </v>
      </c>
      <c r="J70" t="str">
        <f>"Princeton"</f>
        <v>Princeton</v>
      </c>
      <c r="K70" t="str">
        <f>"New Jersey"</f>
        <v>New Jersey</v>
      </c>
      <c r="L70" t="str">
        <f>"08540"</f>
        <v>08540</v>
      </c>
      <c r="M70" t="str">
        <f>"WOSB|Small Business"</f>
        <v>WOSB|Small Business</v>
      </c>
      <c r="N70" t="str">
        <f>"www.banc3.com`"</f>
        <v>www.banc3.com`</v>
      </c>
    </row>
    <row r="71" spans="1:14" x14ac:dyDescent="0.35">
      <c r="A71" t="s">
        <v>1078</v>
      </c>
      <c r="B71" t="s">
        <v>13</v>
      </c>
      <c r="C71" s="2" t="s">
        <v>1079</v>
      </c>
      <c r="D71" t="str">
        <f>"Senior Director"</f>
        <v>Senior Director</v>
      </c>
      <c r="E71" t="s">
        <v>23</v>
      </c>
      <c r="F71" t="str">
        <f>"GovCIO"</f>
        <v>GovCIO</v>
      </c>
      <c r="G71" t="str">
        <f>"1-5713191444"</f>
        <v>1-5713191444</v>
      </c>
      <c r="H71" t="str">
        <f>"101 Constitution Ave, NW"</f>
        <v>101 Constitution Ave, NW</v>
      </c>
      <c r="I71" t="str">
        <f>"#110"</f>
        <v>#110</v>
      </c>
      <c r="J71" t="str">
        <f>"Washington"</f>
        <v>Washington</v>
      </c>
      <c r="K71" t="str">
        <f>"DC"</f>
        <v>DC</v>
      </c>
      <c r="L71" t="str">
        <f>"20001"</f>
        <v>20001</v>
      </c>
      <c r="M71" t="str">
        <f>"Large Business"</f>
        <v>Large Business</v>
      </c>
      <c r="N71" t="str">
        <f>"govcio.com"</f>
        <v>govcio.com</v>
      </c>
    </row>
    <row r="72" spans="1:14" x14ac:dyDescent="0.35">
      <c r="A72" t="s">
        <v>821</v>
      </c>
      <c r="B72" t="s">
        <v>390</v>
      </c>
      <c r="C72" s="2" t="s">
        <v>822</v>
      </c>
      <c r="D72" t="str">
        <f>"Capture Manager"</f>
        <v>Capture Manager</v>
      </c>
      <c r="E72" s="1"/>
      <c r="F72" t="str">
        <f>"B3, an Octo Company"</f>
        <v>B3, an Octo Company</v>
      </c>
      <c r="G72" t="str">
        <f>"1-7032821238"</f>
        <v>1-7032821238</v>
      </c>
      <c r="H72" t="str">
        <f>"10780 Parkridge Blvd"</f>
        <v>10780 Parkridge Blvd</v>
      </c>
      <c r="I72" t="str">
        <f>"  "</f>
        <v xml:space="preserve">  </v>
      </c>
      <c r="J72" t="str">
        <f>"Reston"</f>
        <v>Reston</v>
      </c>
      <c r="K72" t="str">
        <f>"VA"</f>
        <v>VA</v>
      </c>
      <c r="L72" t="str">
        <f>"20191"</f>
        <v>20191</v>
      </c>
      <c r="M72" t="str">
        <f>"Large Business"</f>
        <v>Large Business</v>
      </c>
      <c r="N72" t="str">
        <f>"B3GroupInc.com"</f>
        <v>B3GroupInc.com</v>
      </c>
    </row>
    <row r="73" spans="1:14" x14ac:dyDescent="0.35">
      <c r="A73" t="s">
        <v>548</v>
      </c>
      <c r="B73" t="s">
        <v>547</v>
      </c>
      <c r="C73" s="2" t="s">
        <v>549</v>
      </c>
      <c r="D73" t="str">
        <f>"Director"</f>
        <v>Director</v>
      </c>
      <c r="E73" t="s">
        <v>34</v>
      </c>
      <c r="F73" t="str">
        <f>"Unite Us"</f>
        <v>Unite Us</v>
      </c>
      <c r="G73" t="str">
        <f>"1-9089306006"</f>
        <v>1-9089306006</v>
      </c>
      <c r="H73" t="str">
        <f>"217 Broadway"</f>
        <v>217 Broadway</v>
      </c>
      <c r="I73" t="str">
        <f>"  "</f>
        <v xml:space="preserve">  </v>
      </c>
      <c r="J73" t="str">
        <f>"New York"</f>
        <v>New York</v>
      </c>
      <c r="K73" t="str">
        <f>"NY"</f>
        <v>NY</v>
      </c>
      <c r="L73" t="str">
        <f>"10007"</f>
        <v>10007</v>
      </c>
      <c r="M73" t="str">
        <f>"VOSB"</f>
        <v>VOSB</v>
      </c>
      <c r="N73" t="str">
        <f>""</f>
        <v/>
      </c>
    </row>
    <row r="74" spans="1:14" x14ac:dyDescent="0.35">
      <c r="A74" t="s">
        <v>207</v>
      </c>
      <c r="B74" t="s">
        <v>206</v>
      </c>
      <c r="C74" s="2" t="s">
        <v>208</v>
      </c>
      <c r="D74" t="str">
        <f>"Director Federal Healthcare and Benefits"</f>
        <v>Director Federal Healthcare and Benefits</v>
      </c>
      <c r="E74" t="s">
        <v>23</v>
      </c>
      <c r="F74" t="str">
        <f>"Microsoft"</f>
        <v>Microsoft</v>
      </c>
      <c r="G74" t="str">
        <f>"1-3015290437"</f>
        <v>1-3015290437</v>
      </c>
      <c r="H74" t="str">
        <f>"4100 Glenridge Street"</f>
        <v>4100 Glenridge Street</v>
      </c>
      <c r="I74" t="str">
        <f>"  "</f>
        <v xml:space="preserve">  </v>
      </c>
      <c r="J74" t="str">
        <f>"Kensington"</f>
        <v>Kensington</v>
      </c>
      <c r="K74" t="str">
        <f>"MD"</f>
        <v>MD</v>
      </c>
      <c r="L74" t="str">
        <f>"20895"</f>
        <v>20895</v>
      </c>
      <c r="M74" t="str">
        <f>"Large Business"</f>
        <v>Large Business</v>
      </c>
      <c r="N74" t="str">
        <f>""</f>
        <v/>
      </c>
    </row>
    <row r="75" spans="1:14" x14ac:dyDescent="0.35">
      <c r="A75" t="s">
        <v>128</v>
      </c>
      <c r="B75" t="s">
        <v>127</v>
      </c>
      <c r="C75" s="2" t="s">
        <v>129</v>
      </c>
      <c r="D75" t="str">
        <f>"Account Manager, Public Sector"</f>
        <v>Account Manager, Public Sector</v>
      </c>
      <c r="E75" s="1"/>
      <c r="F75" t="str">
        <f>"Winvale"</f>
        <v>Winvale</v>
      </c>
      <c r="G75" t="str">
        <f>"1-804-313-6540"</f>
        <v>1-804-313-6540</v>
      </c>
      <c r="H75" t="str">
        <f>"3951 Westerre Parkway, Suite 250"</f>
        <v>3951 Westerre Parkway, Suite 250</v>
      </c>
      <c r="I75" t="str">
        <f>"  "</f>
        <v xml:space="preserve">  </v>
      </c>
      <c r="J75" t="str">
        <f>"Richmond"</f>
        <v>Richmond</v>
      </c>
      <c r="K75" t="str">
        <f>"VA"</f>
        <v>VA</v>
      </c>
      <c r="L75" t="str">
        <f>"23233"</f>
        <v>23233</v>
      </c>
      <c r="M75" t="str">
        <f>"Small Business"</f>
        <v>Small Business</v>
      </c>
      <c r="N75" t="str">
        <f>"https://winvale.com/"</f>
        <v>https://winvale.com/</v>
      </c>
    </row>
    <row r="76" spans="1:14" x14ac:dyDescent="0.35">
      <c r="A76" t="s">
        <v>356</v>
      </c>
      <c r="B76" t="s">
        <v>355</v>
      </c>
      <c r="C76" s="2" t="s">
        <v>357</v>
      </c>
      <c r="D76" t="str">
        <f>"Practice Lead, Thoughtworks Federal"</f>
        <v>Practice Lead, Thoughtworks Federal</v>
      </c>
      <c r="E76" s="1"/>
      <c r="F76" t="str">
        <f>"Thoughtworks"</f>
        <v>Thoughtworks</v>
      </c>
      <c r="G76" t="str">
        <f>"1-2024136959"</f>
        <v>1-2024136959</v>
      </c>
      <c r="H76" t="str">
        <f>"200 E Randolph Street"</f>
        <v>200 E Randolph Street</v>
      </c>
      <c r="I76" t="str">
        <f>"  "</f>
        <v xml:space="preserve">  </v>
      </c>
      <c r="J76" t="str">
        <f>"Chicago"</f>
        <v>Chicago</v>
      </c>
      <c r="K76" t="str">
        <f>"District of Columbia"</f>
        <v>District of Columbia</v>
      </c>
      <c r="L76" t="str">
        <f>"60601"</f>
        <v>60601</v>
      </c>
      <c r="M76" t="str">
        <f>"Large Business"</f>
        <v>Large Business</v>
      </c>
      <c r="N76" t="str">
        <f>"https://www.thoughtworks.com/en-us/clients/public-sector"</f>
        <v>https://www.thoughtworks.com/en-us/clients/public-sector</v>
      </c>
    </row>
    <row r="77" spans="1:14" x14ac:dyDescent="0.35">
      <c r="A77" t="s">
        <v>513</v>
      </c>
      <c r="B77" t="s">
        <v>512</v>
      </c>
      <c r="C77" s="2" t="s">
        <v>514</v>
      </c>
      <c r="D77" t="str">
        <f>"VP Strategic growth"</f>
        <v>VP Strategic growth</v>
      </c>
      <c r="E77" t="s">
        <v>22</v>
      </c>
      <c r="F77" t="str">
        <f>"JANUS Research"</f>
        <v>JANUS Research</v>
      </c>
      <c r="G77" t="str">
        <f>"1-7322590795"</f>
        <v>1-7322590795</v>
      </c>
      <c r="H77" t="str">
        <f>"6 mulberry circle"</f>
        <v>6 mulberry circle</v>
      </c>
      <c r="I77" t="str">
        <f>"  "</f>
        <v xml:space="preserve">  </v>
      </c>
      <c r="J77" t="str">
        <f>"hazlet"</f>
        <v>hazlet</v>
      </c>
      <c r="K77" t="str">
        <f>"nj"</f>
        <v>nj</v>
      </c>
      <c r="L77" t="str">
        <f>"07730"</f>
        <v>07730</v>
      </c>
      <c r="M77" t="str">
        <f>"Large Business"</f>
        <v>Large Business</v>
      </c>
      <c r="N77" t="str">
        <f>""</f>
        <v/>
      </c>
    </row>
    <row r="78" spans="1:14" x14ac:dyDescent="0.35">
      <c r="A78" t="s">
        <v>306</v>
      </c>
      <c r="B78" t="s">
        <v>305</v>
      </c>
      <c r="C78" s="2" t="s">
        <v>307</v>
      </c>
      <c r="D78" t="str">
        <f>"Operations Manager"</f>
        <v>Operations Manager</v>
      </c>
      <c r="E78" t="s">
        <v>23</v>
      </c>
      <c r="F78" t="str">
        <f>"By Light Professional IT Services"</f>
        <v>By Light Professional IT Services</v>
      </c>
      <c r="G78" t="str">
        <f>"1-7037510510"</f>
        <v>1-7037510510</v>
      </c>
      <c r="H78" t="str">
        <f>"8484 Westpark Dr"</f>
        <v>8484 Westpark Dr</v>
      </c>
      <c r="I78" t="str">
        <f>"Suite 600"</f>
        <v>Suite 600</v>
      </c>
      <c r="J78" t="str">
        <f>"McLean"</f>
        <v>McLean</v>
      </c>
      <c r="K78" t="str">
        <f>"VA"</f>
        <v>VA</v>
      </c>
      <c r="L78" t="str">
        <f>"22102"</f>
        <v>22102</v>
      </c>
      <c r="M78" t="str">
        <f>"Large Business"</f>
        <v>Large Business</v>
      </c>
      <c r="N78" t="str">
        <f>"www.bylight.com"</f>
        <v>www.bylight.com</v>
      </c>
    </row>
    <row r="79" spans="1:14" x14ac:dyDescent="0.35">
      <c r="A79" t="s">
        <v>559</v>
      </c>
      <c r="B79" t="s">
        <v>558</v>
      </c>
      <c r="C79" s="2" t="s">
        <v>560</v>
      </c>
      <c r="D79" t="str">
        <f>"Account Executive"</f>
        <v>Account Executive</v>
      </c>
      <c r="E79" t="s">
        <v>23</v>
      </c>
      <c r="F79" t="str">
        <f>"ServiceNow"</f>
        <v>ServiceNow</v>
      </c>
      <c r="G79" t="str">
        <f>"1-9098515228"</f>
        <v>1-9098515228</v>
      </c>
      <c r="H79" t="str">
        <f>"8324 Knights Forest Dr"</f>
        <v>8324 Knights Forest Dr</v>
      </c>
      <c r="I79" t="str">
        <f>"  "</f>
        <v xml:space="preserve">  </v>
      </c>
      <c r="J79" t="str">
        <f>"Clifton"</f>
        <v>Clifton</v>
      </c>
      <c r="K79" t="str">
        <f>"VA"</f>
        <v>VA</v>
      </c>
      <c r="L79" t="str">
        <f>"20124"</f>
        <v>20124</v>
      </c>
      <c r="M79" t="str">
        <f>"Large Business"</f>
        <v>Large Business</v>
      </c>
      <c r="N79" t="s">
        <v>561</v>
      </c>
    </row>
    <row r="80" spans="1:14" x14ac:dyDescent="0.35">
      <c r="A80" t="s">
        <v>676</v>
      </c>
      <c r="B80" t="s">
        <v>675</v>
      </c>
      <c r="C80" s="2" t="s">
        <v>677</v>
      </c>
      <c r="D80" t="str">
        <f>"Cyber Strategic Advisor"</f>
        <v>Cyber Strategic Advisor</v>
      </c>
      <c r="E80" t="s">
        <v>23</v>
      </c>
      <c r="F80" t="str">
        <f>"Lumen"</f>
        <v>Lumen</v>
      </c>
      <c r="G80" t="str">
        <f>"1-7039807129"</f>
        <v>1-7039807129</v>
      </c>
      <c r="H80" t="str">
        <f>"2900 Towerview Road"</f>
        <v>2900 Towerview Road</v>
      </c>
      <c r="I80" t="str">
        <f>"  "</f>
        <v xml:space="preserve">  </v>
      </c>
      <c r="J80" t="str">
        <f>"Herndon"</f>
        <v>Herndon</v>
      </c>
      <c r="K80" t="str">
        <f>"VA"</f>
        <v>VA</v>
      </c>
      <c r="L80" t="str">
        <f>"20171"</f>
        <v>20171</v>
      </c>
      <c r="M80" t="str">
        <f>"Large Business"</f>
        <v>Large Business</v>
      </c>
      <c r="N80" t="str">
        <f>"www.lumen.com "</f>
        <v xml:space="preserve">www.lumen.com </v>
      </c>
    </row>
    <row r="81" spans="1:14" x14ac:dyDescent="0.35">
      <c r="A81" t="s">
        <v>417</v>
      </c>
      <c r="B81" t="s">
        <v>416</v>
      </c>
      <c r="C81" s="2" t="s">
        <v>418</v>
      </c>
      <c r="D81" t="str">
        <f>"Consultant"</f>
        <v>Consultant</v>
      </c>
      <c r="E81" s="1"/>
      <c r="F81" t="str">
        <f>"Ferlise and Associates"</f>
        <v>Ferlise and Associates</v>
      </c>
      <c r="G81" t="str">
        <f>"1-17325396771"</f>
        <v>1-17325396771</v>
      </c>
      <c r="H81" t="str">
        <f>"254 South Shore Drive"</f>
        <v>254 South Shore Drive</v>
      </c>
      <c r="I81" t="str">
        <f>"  "</f>
        <v xml:space="preserve">  </v>
      </c>
      <c r="J81" t="str">
        <f>"Toms River"</f>
        <v>Toms River</v>
      </c>
      <c r="K81" t="str">
        <f>"NJ"</f>
        <v>NJ</v>
      </c>
      <c r="L81" t="str">
        <f>"08753"</f>
        <v>08753</v>
      </c>
      <c r="M81" t="str">
        <f>"Small Business"</f>
        <v>Small Business</v>
      </c>
      <c r="N81" t="str">
        <f>"FerliseAssociates.com"</f>
        <v>FerliseAssociates.com</v>
      </c>
    </row>
    <row r="82" spans="1:14" x14ac:dyDescent="0.35">
      <c r="A82" t="s">
        <v>405</v>
      </c>
      <c r="B82" t="s">
        <v>404</v>
      </c>
      <c r="C82" s="2" t="s">
        <v>406</v>
      </c>
      <c r="D82" t="str">
        <f>"Pricing Manager"</f>
        <v>Pricing Manager</v>
      </c>
      <c r="E82" t="s">
        <v>22</v>
      </c>
      <c r="F82" t="str">
        <f>"Softrams"</f>
        <v>Softrams</v>
      </c>
      <c r="G82" t="str">
        <f>"1-7033386902"</f>
        <v>1-7033386902</v>
      </c>
      <c r="H82" t="str">
        <f>"401 N Beechwood Ave"</f>
        <v>401 N Beechwood Ave</v>
      </c>
      <c r="I82" t="str">
        <f>"  "</f>
        <v xml:space="preserve">  </v>
      </c>
      <c r="J82" t="str">
        <f>"Catonsville"</f>
        <v>Catonsville</v>
      </c>
      <c r="K82" t="str">
        <f>"MD"</f>
        <v>MD</v>
      </c>
      <c r="L82" t="str">
        <f>"21228"</f>
        <v>21228</v>
      </c>
      <c r="M82" t="str">
        <f>"8(A)|SDVOSB|HUBZone|Small Business|Small Disadvantaged Business"</f>
        <v>8(A)|SDVOSB|HUBZone|Small Business|Small Disadvantaged Business</v>
      </c>
      <c r="N82" t="str">
        <f>"www.softrams.com"</f>
        <v>www.softrams.com</v>
      </c>
    </row>
    <row r="83" spans="1:14" x14ac:dyDescent="0.35">
      <c r="A83" t="s">
        <v>668</v>
      </c>
      <c r="B83" t="s">
        <v>532</v>
      </c>
      <c r="C83" s="2" t="s">
        <v>669</v>
      </c>
      <c r="D83" t="str">
        <f>"Senior Director"</f>
        <v>Senior Director</v>
      </c>
      <c r="E83" s="1"/>
      <c r="F83" t="str">
        <f>"SAIC"</f>
        <v>SAIC</v>
      </c>
      <c r="G83" t="str">
        <f>"1-3015024813"</f>
        <v>1-3015024813</v>
      </c>
      <c r="H83" t="str">
        <f>"2900 Quincy Street"</f>
        <v>2900 Quincy Street</v>
      </c>
      <c r="I83" t="str">
        <f>"  "</f>
        <v xml:space="preserve">  </v>
      </c>
      <c r="J83" t="str">
        <f>"Arlington"</f>
        <v>Arlington</v>
      </c>
      <c r="K83" t="str">
        <f>"VA"</f>
        <v>VA</v>
      </c>
      <c r="L83" t="str">
        <f>"22206"</f>
        <v>22206</v>
      </c>
      <c r="M83" t="str">
        <f>"Large Business"</f>
        <v>Large Business</v>
      </c>
      <c r="N83" t="str">
        <f>"www,SAIC,com"</f>
        <v>www,SAIC,com</v>
      </c>
    </row>
    <row r="84" spans="1:14" x14ac:dyDescent="0.35">
      <c r="A84" t="s">
        <v>772</v>
      </c>
      <c r="B84" t="s">
        <v>657</v>
      </c>
      <c r="C84" s="2" t="s">
        <v>773</v>
      </c>
      <c r="D84" t="str">
        <f>"Director of Strategic Partnerships"</f>
        <v>Director of Strategic Partnerships</v>
      </c>
      <c r="E84" t="s">
        <v>23</v>
      </c>
      <c r="F84" t="str">
        <f>"LexisNexis Risk Solutions"</f>
        <v>LexisNexis Risk Solutions</v>
      </c>
      <c r="G84" t="str">
        <f>"1-7604455074"</f>
        <v>1-7604455074</v>
      </c>
      <c r="H84" t="str">
        <f>"1000 Alderman Dr"</f>
        <v>1000 Alderman Dr</v>
      </c>
      <c r="I84" t="str">
        <f>"  "</f>
        <v xml:space="preserve">  </v>
      </c>
      <c r="J84" t="str">
        <f>"Alpharetta"</f>
        <v>Alpharetta</v>
      </c>
      <c r="K84" t="str">
        <f>"GA"</f>
        <v>GA</v>
      </c>
      <c r="L84" t="str">
        <f>"30005"</f>
        <v>30005</v>
      </c>
      <c r="M84" t="str">
        <f>"Large Business"</f>
        <v>Large Business</v>
      </c>
      <c r="N84" t="str">
        <f>""</f>
        <v/>
      </c>
    </row>
    <row r="85" spans="1:14" x14ac:dyDescent="0.35">
      <c r="A85" t="s">
        <v>579</v>
      </c>
      <c r="B85" t="s">
        <v>470</v>
      </c>
      <c r="C85" s="2" t="s">
        <v>580</v>
      </c>
      <c r="D85" t="str">
        <f>"Client Director"</f>
        <v>Client Director</v>
      </c>
      <c r="E85" t="s">
        <v>23</v>
      </c>
      <c r="F85" t="str">
        <f>"WWT"</f>
        <v>WWT</v>
      </c>
      <c r="G85" t="str">
        <f>"1-4109916716"</f>
        <v>1-4109916716</v>
      </c>
      <c r="H85" t="str">
        <f>"1 World Wide Way"</f>
        <v>1 World Wide Way</v>
      </c>
      <c r="I85" t="str">
        <f>"  "</f>
        <v xml:space="preserve">  </v>
      </c>
      <c r="J85" t="str">
        <f>"St. Louis"</f>
        <v>St. Louis</v>
      </c>
      <c r="K85" t="str">
        <f>"MO"</f>
        <v>MO</v>
      </c>
      <c r="L85" t="str">
        <f>"63146"</f>
        <v>63146</v>
      </c>
      <c r="M85" t="str">
        <f>"Large Business"</f>
        <v>Large Business</v>
      </c>
      <c r="N85" t="str">
        <f>"Wwt.com"</f>
        <v>Wwt.com</v>
      </c>
    </row>
    <row r="86" spans="1:14" x14ac:dyDescent="0.35">
      <c r="A86" t="s">
        <v>856</v>
      </c>
      <c r="B86" t="s">
        <v>855</v>
      </c>
      <c r="C86" s="2" t="s">
        <v>857</v>
      </c>
      <c r="D86" t="str">
        <f>"Vice President"</f>
        <v>Vice President</v>
      </c>
      <c r="E86" t="s">
        <v>23</v>
      </c>
      <c r="F86" t="str">
        <f>"Cognosante"</f>
        <v>Cognosante</v>
      </c>
      <c r="G86" t="str">
        <f>"1-7576426615"</f>
        <v>1-7576426615</v>
      </c>
      <c r="H86" t="str">
        <f>"3110 Fairview Park Drive"</f>
        <v>3110 Fairview Park Drive</v>
      </c>
      <c r="I86" t="str">
        <f>"  "</f>
        <v xml:space="preserve">  </v>
      </c>
      <c r="J86" t="str">
        <f>"Falls Church"</f>
        <v>Falls Church</v>
      </c>
      <c r="K86" t="str">
        <f>"Virginia"</f>
        <v>Virginia</v>
      </c>
      <c r="L86" t="str">
        <f>"22042"</f>
        <v>22042</v>
      </c>
      <c r="M86" t="str">
        <f>"Large Business"</f>
        <v>Large Business</v>
      </c>
      <c r="N86" t="str">
        <f>""</f>
        <v/>
      </c>
    </row>
    <row r="87" spans="1:14" x14ac:dyDescent="0.35">
      <c r="A87" t="s">
        <v>89</v>
      </c>
      <c r="B87" t="s">
        <v>88</v>
      </c>
      <c r="C87" s="2" t="s">
        <v>90</v>
      </c>
      <c r="D87" t="str">
        <f>"Director, Business Engineering"</f>
        <v>Director, Business Engineering</v>
      </c>
      <c r="E87" s="1"/>
      <c r="F87" t="str">
        <f>"CGI FEDERAL INC US003"</f>
        <v>CGI FEDERAL INC US003</v>
      </c>
      <c r="G87" t="str">
        <f>"1-2026410114"</f>
        <v>1-2026410114</v>
      </c>
      <c r="H87" t="str">
        <f>"13548 Arcadian Drive"</f>
        <v>13548 Arcadian Drive</v>
      </c>
      <c r="I87" t="str">
        <f>"  "</f>
        <v xml:space="preserve">  </v>
      </c>
      <c r="J87" t="str">
        <f>"Leesburg"</f>
        <v>Leesburg</v>
      </c>
      <c r="K87" t="str">
        <f>"Virginia"</f>
        <v>Virginia</v>
      </c>
      <c r="L87" t="str">
        <f>"20176"</f>
        <v>20176</v>
      </c>
      <c r="M87" t="str">
        <f>"Large Business"</f>
        <v>Large Business</v>
      </c>
      <c r="N87" t="str">
        <f>"CGI.com"</f>
        <v>CGI.com</v>
      </c>
    </row>
    <row r="88" spans="1:14" x14ac:dyDescent="0.35">
      <c r="A88" t="s">
        <v>941</v>
      </c>
      <c r="B88" t="s">
        <v>664</v>
      </c>
      <c r="C88" s="2" t="s">
        <v>942</v>
      </c>
      <c r="D88" t="str">
        <f>"Sr Sales Ops"</f>
        <v>Sr Sales Ops</v>
      </c>
      <c r="E88" s="1"/>
      <c r="F88" t="str">
        <f>"RHO Inc."</f>
        <v>RHO Inc.</v>
      </c>
      <c r="G88" t="str">
        <f>"1-9085026386"</f>
        <v>1-9085026386</v>
      </c>
      <c r="H88" t="str">
        <f>"507 Omni Dr"</f>
        <v>507 Omni Dr</v>
      </c>
      <c r="I88" t="str">
        <f>"  "</f>
        <v xml:space="preserve">  </v>
      </c>
      <c r="J88" t="str">
        <f>"Hillsborough"</f>
        <v>Hillsborough</v>
      </c>
      <c r="K88" t="str">
        <f>"NJ"</f>
        <v>NJ</v>
      </c>
      <c r="L88" t="str">
        <f>"08844"</f>
        <v>08844</v>
      </c>
      <c r="M88" t="str">
        <f>"WOSB"</f>
        <v>WOSB</v>
      </c>
      <c r="N88" t="str">
        <f>"www.rho-inc.com"</f>
        <v>www.rho-inc.com</v>
      </c>
    </row>
    <row r="89" spans="1:14" x14ac:dyDescent="0.35">
      <c r="A89" t="s">
        <v>824</v>
      </c>
      <c r="B89" t="s">
        <v>823</v>
      </c>
      <c r="C89" s="2" t="s">
        <v>825</v>
      </c>
      <c r="D89" t="str">
        <f>"SVP, Federal Health"</f>
        <v>SVP, Federal Health</v>
      </c>
      <c r="E89" t="s">
        <v>22</v>
      </c>
      <c r="F89" t="str">
        <f>"BEAT, LLC"</f>
        <v>BEAT, LLC</v>
      </c>
      <c r="G89" t="str">
        <f>"1-7193738135"</f>
        <v>1-7193738135</v>
      </c>
      <c r="H89" t="str">
        <f>"802 E. Quincy Ave"</f>
        <v>802 E. Quincy Ave</v>
      </c>
      <c r="I89" t="str">
        <f>"  "</f>
        <v xml:space="preserve">  </v>
      </c>
      <c r="J89" t="str">
        <f>"San Antonio"</f>
        <v>San Antonio</v>
      </c>
      <c r="K89" t="str">
        <f>"TX"</f>
        <v>TX</v>
      </c>
      <c r="L89" t="str">
        <f>"78215"</f>
        <v>78215</v>
      </c>
      <c r="M89" t="str">
        <f>"8(A)|SDVOSB|HUBZone|Small Business|Small Disadvantaged Business"</f>
        <v>8(A)|SDVOSB|HUBZone|Small Business|Small Disadvantaged Business</v>
      </c>
      <c r="N89" t="str">
        <f>""</f>
        <v/>
      </c>
    </row>
    <row r="90" spans="1:14" x14ac:dyDescent="0.35">
      <c r="A90" t="s">
        <v>720</v>
      </c>
      <c r="B90" t="s">
        <v>719</v>
      </c>
      <c r="C90" s="2" t="s">
        <v>721</v>
      </c>
      <c r="D90" t="str">
        <f>"Vice President"</f>
        <v>Vice President</v>
      </c>
      <c r="E90" t="s">
        <v>23</v>
      </c>
      <c r="F90" t="str">
        <f>"ECS Federal"</f>
        <v>ECS Federal</v>
      </c>
      <c r="G90" t="str">
        <f>"1-5712012759"</f>
        <v>1-5712012759</v>
      </c>
      <c r="H90" t="str">
        <f>"2750 Prosperity Avenue"</f>
        <v>2750 Prosperity Avenue</v>
      </c>
      <c r="I90" t="str">
        <f>"  "</f>
        <v xml:space="preserve">  </v>
      </c>
      <c r="J90" t="str">
        <f>"Fairfax"</f>
        <v>Fairfax</v>
      </c>
      <c r="K90" t="str">
        <f>"VA"</f>
        <v>VA</v>
      </c>
      <c r="L90" t="str">
        <f>"22031"</f>
        <v>22031</v>
      </c>
      <c r="M90" t="str">
        <f>"Large Business"</f>
        <v>Large Business</v>
      </c>
      <c r="N90" t="str">
        <f>"ecstech.com"</f>
        <v>ecstech.com</v>
      </c>
    </row>
    <row r="91" spans="1:14" x14ac:dyDescent="0.35">
      <c r="A91" t="s">
        <v>888</v>
      </c>
      <c r="B91" t="s">
        <v>390</v>
      </c>
      <c r="C91" s="2" t="s">
        <v>889</v>
      </c>
      <c r="D91" t="str">
        <f>"Deputy COO"</f>
        <v>Deputy COO</v>
      </c>
      <c r="E91" t="s">
        <v>23</v>
      </c>
      <c r="F91" t="str">
        <f>"ProSphere"</f>
        <v>ProSphere</v>
      </c>
      <c r="G91" t="str">
        <f>"1-7038103091"</f>
        <v>1-7038103091</v>
      </c>
      <c r="H91" t="str">
        <f>"3717 Columbia Pike"</f>
        <v>3717 Columbia Pike</v>
      </c>
      <c r="I91" t="str">
        <f>"  "</f>
        <v xml:space="preserve">  </v>
      </c>
      <c r="J91" t="str">
        <f>"Arlington"</f>
        <v>Arlington</v>
      </c>
      <c r="K91" t="str">
        <f>"VA"</f>
        <v>VA</v>
      </c>
      <c r="L91" t="str">
        <f>"22204"</f>
        <v>22204</v>
      </c>
      <c r="M91" t="str">
        <f>"Large Business"</f>
        <v>Large Business</v>
      </c>
      <c r="N91" t="str">
        <f>"www.prosphere.com"</f>
        <v>www.prosphere.com</v>
      </c>
    </row>
    <row r="92" spans="1:14" x14ac:dyDescent="0.35">
      <c r="A92" t="s">
        <v>1014</v>
      </c>
      <c r="B92" t="s">
        <v>76</v>
      </c>
      <c r="C92" s="2" t="s">
        <v>1015</v>
      </c>
      <c r="D92" t="str">
        <f>"SVP"</f>
        <v>SVP</v>
      </c>
      <c r="E92" t="s">
        <v>34</v>
      </c>
      <c r="F92" t="str">
        <f>"LTS"</f>
        <v>LTS</v>
      </c>
      <c r="G92" t="str">
        <f>"1-5402395494"</f>
        <v>1-5402395494</v>
      </c>
      <c r="H92" t="str">
        <f>"6800 Crutchfield St"</f>
        <v>6800 Crutchfield St</v>
      </c>
      <c r="I92" t="str">
        <f>"  "</f>
        <v xml:space="preserve">  </v>
      </c>
      <c r="J92" t="str">
        <f>"Falls Church"</f>
        <v>Falls Church</v>
      </c>
      <c r="K92" t="str">
        <f>"VA"</f>
        <v>VA</v>
      </c>
      <c r="L92" t="str">
        <f>"22043"</f>
        <v>22043</v>
      </c>
      <c r="M92" t="str">
        <f>"Large Business"</f>
        <v>Large Business</v>
      </c>
      <c r="N92" t="str">
        <f>"www.lts.com"</f>
        <v>www.lts.com</v>
      </c>
    </row>
    <row r="93" spans="1:14" x14ac:dyDescent="0.35">
      <c r="A93" t="s">
        <v>955</v>
      </c>
      <c r="B93" t="s">
        <v>954</v>
      </c>
      <c r="C93" s="2" t="s">
        <v>956</v>
      </c>
      <c r="D93" t="str">
        <f>"Client Executive"</f>
        <v>Client Executive</v>
      </c>
      <c r="E93" t="s">
        <v>23</v>
      </c>
      <c r="F93" t="str">
        <f>"Nutanix"</f>
        <v>Nutanix</v>
      </c>
      <c r="G93" t="str">
        <f>"1-703-434-9494"</f>
        <v>1-703-434-9494</v>
      </c>
      <c r="H93" t="str">
        <f>"5317 Pomfret Point"</f>
        <v>5317 Pomfret Point</v>
      </c>
      <c r="I93" t="str">
        <f>"  "</f>
        <v xml:space="preserve">  </v>
      </c>
      <c r="J93" t="str">
        <f>"Raleigh"</f>
        <v>Raleigh</v>
      </c>
      <c r="K93" t="str">
        <f>"NC"</f>
        <v>NC</v>
      </c>
      <c r="L93" t="str">
        <f>"27612"</f>
        <v>27612</v>
      </c>
      <c r="M93" t="str">
        <f>"Large Business"</f>
        <v>Large Business</v>
      </c>
      <c r="N93" t="str">
        <f>"www.nutanix.com"</f>
        <v>www.nutanix.com</v>
      </c>
    </row>
    <row r="94" spans="1:14" x14ac:dyDescent="0.35">
      <c r="A94" t="s">
        <v>569</v>
      </c>
      <c r="B94" t="s">
        <v>97</v>
      </c>
      <c r="C94" s="2" t="s">
        <v>570</v>
      </c>
      <c r="D94" t="str">
        <f>"COO"</f>
        <v>COO</v>
      </c>
      <c r="E94" s="1"/>
      <c r="F94" t="str">
        <f>"Elevate Government Solutions"</f>
        <v>Elevate Government Solutions</v>
      </c>
      <c r="G94" t="str">
        <f>"1-8586636123"</f>
        <v>1-8586636123</v>
      </c>
      <c r="H94" t="str">
        <f>"115 Rhode Island Ave NE"</f>
        <v>115 Rhode Island Ave NE</v>
      </c>
      <c r="I94" t="str">
        <f>"  "</f>
        <v xml:space="preserve">  </v>
      </c>
      <c r="J94" t="str">
        <f>"Washington"</f>
        <v>Washington</v>
      </c>
      <c r="K94" t="str">
        <f>"DC - District of Columbia"</f>
        <v>DC - District of Columbia</v>
      </c>
      <c r="L94" t="str">
        <f>"20002"</f>
        <v>20002</v>
      </c>
      <c r="M94" t="str">
        <f>"Small Business"</f>
        <v>Small Business</v>
      </c>
      <c r="N94" t="str">
        <f>"Www.elvtgovt.io "</f>
        <v xml:space="preserve">Www.elvtgovt.io </v>
      </c>
    </row>
    <row r="95" spans="1:14" x14ac:dyDescent="0.35">
      <c r="A95" t="s">
        <v>481</v>
      </c>
      <c r="B95" t="s">
        <v>480</v>
      </c>
      <c r="C95" s="2" t="s">
        <v>482</v>
      </c>
      <c r="D95" t="str">
        <f>"Manager, Strategic Engagement"</f>
        <v>Manager, Strategic Engagement</v>
      </c>
      <c r="E95" s="1"/>
      <c r="F95" t="str">
        <f>"Octo"</f>
        <v>Octo</v>
      </c>
      <c r="G95" t="str">
        <f>"1-9085483777"</f>
        <v>1-9085483777</v>
      </c>
      <c r="H95" t="str">
        <f>"10780 Parkridge Blvd"</f>
        <v>10780 Parkridge Blvd</v>
      </c>
      <c r="I95" t="str">
        <f>"  "</f>
        <v xml:space="preserve">  </v>
      </c>
      <c r="J95" t="str">
        <f>"Reston"</f>
        <v>Reston</v>
      </c>
      <c r="K95" t="str">
        <f>"VA"</f>
        <v>VA</v>
      </c>
      <c r="L95" t="str">
        <f>"20191"</f>
        <v>20191</v>
      </c>
      <c r="M95" t="str">
        <f>"Large Business"</f>
        <v>Large Business</v>
      </c>
      <c r="N95" t="str">
        <f>""</f>
        <v/>
      </c>
    </row>
    <row r="96" spans="1:14" x14ac:dyDescent="0.35">
      <c r="A96" t="s">
        <v>124</v>
      </c>
      <c r="B96" t="s">
        <v>49</v>
      </c>
      <c r="C96" s="2" t="s">
        <v>125</v>
      </c>
      <c r="D96" t="str">
        <f>"Business Development Rep"</f>
        <v>Business Development Rep</v>
      </c>
      <c r="E96" s="1"/>
      <c r="F96" t="str">
        <f>"Appgate"</f>
        <v>Appgate</v>
      </c>
      <c r="G96" t="str">
        <f>"1-7039674859"</f>
        <v>1-7039674859</v>
      </c>
      <c r="H96" t="str">
        <f>"2231 Crystal Drive, Suite 202"</f>
        <v>2231 Crystal Drive, Suite 202</v>
      </c>
      <c r="I96" t="str">
        <f>"  "</f>
        <v xml:space="preserve">  </v>
      </c>
      <c r="J96" t="str">
        <f>"Arlington"</f>
        <v>Arlington</v>
      </c>
      <c r="K96" t="str">
        <f>"VA"</f>
        <v>VA</v>
      </c>
      <c r="L96" t="str">
        <f>"22202"</f>
        <v>22202</v>
      </c>
      <c r="M96" t="str">
        <f>"Large Business"</f>
        <v>Large Business</v>
      </c>
      <c r="N96" t="str">
        <f>"https://www.appgate.com/"</f>
        <v>https://www.appgate.com/</v>
      </c>
    </row>
    <row r="97" spans="1:14" x14ac:dyDescent="0.35">
      <c r="A97" t="s">
        <v>447</v>
      </c>
      <c r="B97" t="s">
        <v>446</v>
      </c>
      <c r="C97" s="2" t="s">
        <v>448</v>
      </c>
      <c r="D97" t="str">
        <f>"Dr."</f>
        <v>Dr.</v>
      </c>
      <c r="E97" s="1"/>
      <c r="F97" t="str">
        <f>"Cerner"</f>
        <v>Cerner</v>
      </c>
      <c r="G97" t="str">
        <f>"1-8169087382"</f>
        <v>1-8169087382</v>
      </c>
      <c r="H97" t="str">
        <f>"15049 Conference Center Drive"</f>
        <v>15049 Conference Center Drive</v>
      </c>
      <c r="I97" t="str">
        <f>"  "</f>
        <v xml:space="preserve">  </v>
      </c>
      <c r="J97" t="str">
        <f>"Chantilly"</f>
        <v>Chantilly</v>
      </c>
      <c r="K97" t="str">
        <f>"VIRGINIA"</f>
        <v>VIRGINIA</v>
      </c>
      <c r="L97" t="str">
        <f>"20151"</f>
        <v>20151</v>
      </c>
      <c r="M97" t="str">
        <f>"Large Business"</f>
        <v>Large Business</v>
      </c>
      <c r="N97" t="str">
        <f>"www.cerner.com"</f>
        <v>www.cerner.com</v>
      </c>
    </row>
    <row r="98" spans="1:14" x14ac:dyDescent="0.35">
      <c r="A98" t="s">
        <v>784</v>
      </c>
      <c r="B98" t="s">
        <v>97</v>
      </c>
      <c r="C98" s="2" t="s">
        <v>785</v>
      </c>
      <c r="D98" t="str">
        <f>"asociate"</f>
        <v>asociate</v>
      </c>
      <c r="E98" s="1"/>
      <c r="F98" t="str">
        <f>"Grace and Associates"</f>
        <v>Grace and Associates</v>
      </c>
      <c r="G98" t="str">
        <f>"1-9729352649"</f>
        <v>1-9729352649</v>
      </c>
      <c r="H98" t="str">
        <f>"315 Youngblood Rd"</f>
        <v>315 Youngblood Rd</v>
      </c>
      <c r="I98" t="str">
        <f>"  "</f>
        <v xml:space="preserve">  </v>
      </c>
      <c r="J98" t="str">
        <f>"Waxahachie"</f>
        <v>Waxahachie</v>
      </c>
      <c r="K98" t="str">
        <f>"TX"</f>
        <v>TX</v>
      </c>
      <c r="L98" t="str">
        <f>"75165"</f>
        <v>75165</v>
      </c>
      <c r="M98" t="str">
        <f>"SDVOSB"</f>
        <v>SDVOSB</v>
      </c>
      <c r="N98" t="str">
        <f>""</f>
        <v/>
      </c>
    </row>
    <row r="99" spans="1:14" x14ac:dyDescent="0.35">
      <c r="A99" t="s">
        <v>778</v>
      </c>
      <c r="B99" t="s">
        <v>42</v>
      </c>
      <c r="C99" s="2" t="s">
        <v>779</v>
      </c>
      <c r="D99" t="str">
        <f>"Business Development"</f>
        <v>Business Development</v>
      </c>
      <c r="E99" s="1"/>
      <c r="F99" t="str">
        <f>"End to End Computing"</f>
        <v>End to End Computing</v>
      </c>
      <c r="G99" t="str">
        <f>"1-7179653044"</f>
        <v>1-7179653044</v>
      </c>
      <c r="H99" t="str">
        <f>"1800 Diagonal Rd"</f>
        <v>1800 Diagonal Rd</v>
      </c>
      <c r="I99" t="str">
        <f>"Suite 600"</f>
        <v>Suite 600</v>
      </c>
      <c r="J99" t="str">
        <f>"ALDIE"</f>
        <v>ALDIE</v>
      </c>
      <c r="K99" t="str">
        <f>"Virginia"</f>
        <v>Virginia</v>
      </c>
      <c r="L99" t="str">
        <f>"20105"</f>
        <v>20105</v>
      </c>
      <c r="M99" t="str">
        <f>"8(A)|SDVOSB|Small Business|Small Disadvantaged Business"</f>
        <v>8(A)|SDVOSB|Small Business|Small Disadvantaged Business</v>
      </c>
      <c r="N99" t="str">
        <f>"www.eecomputing.com"</f>
        <v>www.eecomputing.com</v>
      </c>
    </row>
    <row r="100" spans="1:14" x14ac:dyDescent="0.35">
      <c r="A100" t="s">
        <v>117</v>
      </c>
      <c r="B100" t="s">
        <v>116</v>
      </c>
      <c r="C100" s="2" t="s">
        <v>118</v>
      </c>
      <c r="D100" t="str">
        <f>"Director Civilian Sales"</f>
        <v>Director Civilian Sales</v>
      </c>
      <c r="E100" s="1"/>
      <c r="F100" t="str">
        <f>"V3Gate"</f>
        <v>V3Gate</v>
      </c>
      <c r="G100" t="str">
        <f>"1-2245220264"</f>
        <v>1-2245220264</v>
      </c>
      <c r="H100" t="str">
        <f>"555 Middle Creek Pkwy"</f>
        <v>555 Middle Creek Pkwy</v>
      </c>
      <c r="I100" t="str">
        <f>"#120"</f>
        <v>#120</v>
      </c>
      <c r="J100" t="str">
        <f>"Colorado Springs"</f>
        <v>Colorado Springs</v>
      </c>
      <c r="K100" t="str">
        <f>"CO"</f>
        <v>CO</v>
      </c>
      <c r="L100" t="str">
        <f>"80921"</f>
        <v>80921</v>
      </c>
      <c r="M100" t="str">
        <f>"SDVOSB|Small Disadvantaged Business"</f>
        <v>SDVOSB|Small Disadvantaged Business</v>
      </c>
      <c r="N100" t="str">
        <f>"V3gate.com"</f>
        <v>V3gate.com</v>
      </c>
    </row>
    <row r="101" spans="1:14" x14ac:dyDescent="0.35">
      <c r="A101" t="s">
        <v>271</v>
      </c>
      <c r="B101" t="s">
        <v>270</v>
      </c>
      <c r="C101" s="2" t="s">
        <v>272</v>
      </c>
      <c r="D101" t="str">
        <f>"Account Executive"</f>
        <v>Account Executive</v>
      </c>
      <c r="E101" t="s">
        <v>23</v>
      </c>
      <c r="F101" t="str">
        <f>"Pegasystems"</f>
        <v>Pegasystems</v>
      </c>
      <c r="G101" t="str">
        <f>"1-3013950652"</f>
        <v>1-3013950652</v>
      </c>
      <c r="H101" t="str">
        <f>"1 Main Street"</f>
        <v>1 Main Street</v>
      </c>
      <c r="I101" t="str">
        <f>"  "</f>
        <v xml:space="preserve">  </v>
      </c>
      <c r="J101" t="str">
        <f>"Cambridge"</f>
        <v>Cambridge</v>
      </c>
      <c r="K101" t="str">
        <f>"MA"</f>
        <v>MA</v>
      </c>
      <c r="L101" t="str">
        <f>"02142"</f>
        <v>02142</v>
      </c>
      <c r="M101" t="str">
        <f>"Large Business"</f>
        <v>Large Business</v>
      </c>
      <c r="N101" t="str">
        <f>"pega.com"</f>
        <v>pega.com</v>
      </c>
    </row>
    <row r="102" spans="1:14" x14ac:dyDescent="0.35">
      <c r="A102" t="s">
        <v>1027</v>
      </c>
      <c r="B102" t="s">
        <v>1026</v>
      </c>
      <c r="C102" s="2" t="s">
        <v>1028</v>
      </c>
      <c r="D102" t="str">
        <f>"VP Health Solution and Service"</f>
        <v>VP Health Solution and Service</v>
      </c>
      <c r="E102" s="1"/>
      <c r="F102" t="str">
        <f>"LTS"</f>
        <v>LTS</v>
      </c>
      <c r="G102" t="str">
        <f>"1-12513631458"</f>
        <v>1-12513631458</v>
      </c>
      <c r="H102" t="str">
        <f>"12930 Worldgate Drive"</f>
        <v>12930 Worldgate Drive</v>
      </c>
      <c r="I102" t="str">
        <f>"  "</f>
        <v xml:space="preserve">  </v>
      </c>
      <c r="J102" t="str">
        <f>"Herndon"</f>
        <v>Herndon</v>
      </c>
      <c r="K102" t="str">
        <f>"VA"</f>
        <v>VA</v>
      </c>
      <c r="L102" t="str">
        <f>"20170"</f>
        <v>20170</v>
      </c>
      <c r="M102" t="str">
        <f>"Large Business"</f>
        <v>Large Business</v>
      </c>
      <c r="N102" t="str">
        <f>""</f>
        <v/>
      </c>
    </row>
    <row r="103" spans="1:14" x14ac:dyDescent="0.35">
      <c r="A103" t="s">
        <v>248</v>
      </c>
      <c r="B103" t="s">
        <v>260</v>
      </c>
      <c r="C103" s="2" t="s">
        <v>261</v>
      </c>
      <c r="D103" t="str">
        <f>"Principal"</f>
        <v>Principal</v>
      </c>
      <c r="E103" t="s">
        <v>23</v>
      </c>
      <c r="F103" t="str">
        <f>"Deloitte Digital"</f>
        <v>Deloitte Digital</v>
      </c>
      <c r="G103" t="str">
        <f>"1-5714802447"</f>
        <v>1-5714802447</v>
      </c>
      <c r="H103" t="str">
        <f>"1919 N Lynn ST"</f>
        <v>1919 N Lynn ST</v>
      </c>
      <c r="I103" t="str">
        <f>"  "</f>
        <v xml:space="preserve">  </v>
      </c>
      <c r="J103" t="str">
        <f>"Arlington"</f>
        <v>Arlington</v>
      </c>
      <c r="K103" t="str">
        <f>"Virginia"</f>
        <v>Virginia</v>
      </c>
      <c r="L103" t="str">
        <f>"22209"</f>
        <v>22209</v>
      </c>
      <c r="M103" t="str">
        <f>"Large Business"</f>
        <v>Large Business</v>
      </c>
      <c r="N103" t="str">
        <f>""</f>
        <v/>
      </c>
    </row>
    <row r="104" spans="1:14" x14ac:dyDescent="0.35">
      <c r="A104" t="s">
        <v>1110</v>
      </c>
      <c r="B104" t="s">
        <v>39</v>
      </c>
      <c r="C104" s="2" t="s">
        <v>1111</v>
      </c>
      <c r="D104" t="str">
        <f>"CEO"</f>
        <v>CEO</v>
      </c>
      <c r="E104" s="1"/>
      <c r="F104" t="str">
        <f>"We Did IT Consulting"</f>
        <v>We Did IT Consulting</v>
      </c>
      <c r="G104" t="str">
        <f>"1-19147051763"</f>
        <v>1-19147051763</v>
      </c>
      <c r="H104" t="str">
        <f>"9201 Sunrise Lakes Blvd"</f>
        <v>9201 Sunrise Lakes Blvd</v>
      </c>
      <c r="I104" t="str">
        <f>"  "</f>
        <v xml:space="preserve">  </v>
      </c>
      <c r="J104" t="str">
        <f>"Sunrise"</f>
        <v>Sunrise</v>
      </c>
      <c r="K104" t="str">
        <f>"Florida"</f>
        <v>Florida</v>
      </c>
      <c r="L104" t="str">
        <f>"33322"</f>
        <v>33322</v>
      </c>
      <c r="M104" t="str">
        <f>"SDVOSB|Small Business|Small Disadvantaged Business"</f>
        <v>SDVOSB|Small Business|Small Disadvantaged Business</v>
      </c>
      <c r="N104" t="str">
        <f>"www.wediditconsulting.com"</f>
        <v>www.wediditconsulting.com</v>
      </c>
    </row>
    <row r="105" spans="1:14" x14ac:dyDescent="0.35">
      <c r="A105" t="s">
        <v>904</v>
      </c>
      <c r="B105" t="s">
        <v>428</v>
      </c>
      <c r="C105" s="2" t="s">
        <v>905</v>
      </c>
      <c r="D105" t="str">
        <f>"SEM"</f>
        <v>SEM</v>
      </c>
      <c r="E105" s="1"/>
      <c r="F105" t="str">
        <f>"WWT"</f>
        <v>WWT</v>
      </c>
      <c r="G105" t="str">
        <f>"1-7032977282"</f>
        <v>1-7032977282</v>
      </c>
      <c r="H105" t="str">
        <f>"17134 Greenwood Dr"</f>
        <v>17134 Greenwood Dr</v>
      </c>
      <c r="I105" t="str">
        <f>"  "</f>
        <v xml:space="preserve">  </v>
      </c>
      <c r="J105" t="str">
        <f>"Round Hill"</f>
        <v>Round Hill</v>
      </c>
      <c r="K105" t="str">
        <f>"VA"</f>
        <v>VA</v>
      </c>
      <c r="L105" t="str">
        <f>"20141"</f>
        <v>20141</v>
      </c>
      <c r="M105" t="str">
        <f>"Large Business"</f>
        <v>Large Business</v>
      </c>
      <c r="N105" t="str">
        <f>""</f>
        <v/>
      </c>
    </row>
    <row r="106" spans="1:14" x14ac:dyDescent="0.35">
      <c r="A106" t="s">
        <v>433</v>
      </c>
      <c r="B106" t="s">
        <v>432</v>
      </c>
      <c r="C106" s="2" t="s">
        <v>434</v>
      </c>
      <c r="D106" t="str">
        <f>"President &amp; CEO"</f>
        <v>President &amp; CEO</v>
      </c>
      <c r="E106" s="1"/>
      <c r="F106" t="str">
        <f>"A.M. Fadida Consulting"</f>
        <v>A.M. Fadida Consulting</v>
      </c>
      <c r="G106" t="str">
        <f>"1-2027445531"</f>
        <v>1-2027445531</v>
      </c>
      <c r="H106" t="str">
        <f>"2006 Plymouth Street, NW"</f>
        <v>2006 Plymouth Street, NW</v>
      </c>
      <c r="I106" t="str">
        <f>"  "</f>
        <v xml:space="preserve">  </v>
      </c>
      <c r="J106" t="str">
        <f>"Washington"</f>
        <v>Washington</v>
      </c>
      <c r="K106" t="str">
        <f>"DC"</f>
        <v>DC</v>
      </c>
      <c r="L106" t="str">
        <f>"20012"</f>
        <v>20012</v>
      </c>
      <c r="M106" t="str">
        <f>"WOSB"</f>
        <v>WOSB</v>
      </c>
      <c r="N106" t="str">
        <f>"linkedin.com/in/amy-fadida-995290"</f>
        <v>linkedin.com/in/amy-fadida-995290</v>
      </c>
    </row>
    <row r="107" spans="1:14" x14ac:dyDescent="0.35">
      <c r="A107" t="s">
        <v>402</v>
      </c>
      <c r="B107" t="s">
        <v>401</v>
      </c>
      <c r="C107" s="2" t="s">
        <v>403</v>
      </c>
      <c r="D107" t="str">
        <f>"Solutions Architect"</f>
        <v>Solutions Architect</v>
      </c>
      <c r="E107" t="s">
        <v>34</v>
      </c>
      <c r="F107" t="str">
        <f>"DSS"</f>
        <v>DSS</v>
      </c>
      <c r="G107" t="str">
        <f>"1-7032582122"</f>
        <v>1-7032582122</v>
      </c>
      <c r="H107" t="str">
        <f>"20004 Westerly Avenue"</f>
        <v>20004 Westerly Avenue</v>
      </c>
      <c r="I107" t="str">
        <f>"  "</f>
        <v xml:space="preserve">  </v>
      </c>
      <c r="J107" t="str">
        <f>"Poolesville"</f>
        <v>Poolesville</v>
      </c>
      <c r="K107" t="str">
        <f>"MD"</f>
        <v>MD</v>
      </c>
      <c r="L107" t="str">
        <f>"20837"</f>
        <v>20837</v>
      </c>
      <c r="M107" t="str">
        <f>"Large Business"</f>
        <v>Large Business</v>
      </c>
      <c r="N107" t="str">
        <f>"www.dssinc.com"</f>
        <v>www.dssinc.com</v>
      </c>
    </row>
    <row r="108" spans="1:14" x14ac:dyDescent="0.35">
      <c r="A108" t="s">
        <v>973</v>
      </c>
      <c r="B108" t="s">
        <v>384</v>
      </c>
      <c r="C108" s="2" t="s">
        <v>974</v>
      </c>
      <c r="D108" t="str">
        <f>"CGO"</f>
        <v>CGO</v>
      </c>
      <c r="E108" t="s">
        <v>34</v>
      </c>
      <c r="F108" t="str">
        <f>"Anthem"</f>
        <v>Anthem</v>
      </c>
      <c r="G108" t="str">
        <f>"1-4104874049"</f>
        <v>1-4104874049</v>
      </c>
      <c r="H108" t="str">
        <f>"503 MONTCLAIR CT"</f>
        <v>503 MONTCLAIR CT</v>
      </c>
      <c r="I108" t="str">
        <f>"MELISSA LYNN  FANNIN"</f>
        <v>MELISSA LYNN  FANNIN</v>
      </c>
      <c r="J108" t="str">
        <f>"PARKTON"</f>
        <v>PARKTON</v>
      </c>
      <c r="K108" t="str">
        <f>"MD"</f>
        <v>MD</v>
      </c>
      <c r="L108" t="str">
        <f>"21120"</f>
        <v>21120</v>
      </c>
      <c r="M108" t="str">
        <f>"Large Business"</f>
        <v>Large Business</v>
      </c>
      <c r="N108" t="str">
        <f>""</f>
        <v/>
      </c>
    </row>
    <row r="109" spans="1:14" x14ac:dyDescent="0.35">
      <c r="A109" t="s">
        <v>274</v>
      </c>
      <c r="B109" t="s">
        <v>273</v>
      </c>
      <c r="C109" s="2" t="s">
        <v>275</v>
      </c>
      <c r="D109" t="str">
        <f>"VP Health"</f>
        <v>VP Health</v>
      </c>
      <c r="E109" t="s">
        <v>34</v>
      </c>
      <c r="F109" t="str">
        <f>"SBG Technology Solutions"</f>
        <v>SBG Technology Solutions</v>
      </c>
      <c r="G109" t="str">
        <f>"1-7032999093"</f>
        <v>1-7032999093</v>
      </c>
      <c r="H109" t="str">
        <f>"1737 King Street"</f>
        <v>1737 King Street</v>
      </c>
      <c r="I109" t="str">
        <f>"Suite 601"</f>
        <v>Suite 601</v>
      </c>
      <c r="J109" t="str">
        <f>"Alexandria"</f>
        <v>Alexandria</v>
      </c>
      <c r="K109" t="str">
        <f>"VA"</f>
        <v>VA</v>
      </c>
      <c r="L109" t="str">
        <f>"22314"</f>
        <v>22314</v>
      </c>
      <c r="M109" t="str">
        <f>"Large Business"</f>
        <v>Large Business</v>
      </c>
      <c r="N109" t="str">
        <f>""</f>
        <v/>
      </c>
    </row>
    <row r="110" spans="1:14" x14ac:dyDescent="0.35">
      <c r="A110" t="s">
        <v>765</v>
      </c>
      <c r="B110" t="s">
        <v>726</v>
      </c>
      <c r="C110" s="2" t="s">
        <v>766</v>
      </c>
      <c r="D110" t="str">
        <f>"CLIENT DEVELOPMENT"</f>
        <v>CLIENT DEVELOPMENT</v>
      </c>
      <c r="E110" s="1"/>
      <c r="F110" t="str">
        <f>"McKinsey &amp; Company"</f>
        <v>McKinsey &amp; Company</v>
      </c>
      <c r="G110" t="str">
        <f>"1-703 228 9970"</f>
        <v>1-703 228 9970</v>
      </c>
      <c r="H110" t="str">
        <f>"1900 12th street"</f>
        <v>1900 12th street</v>
      </c>
      <c r="I110" t="str">
        <f>"  "</f>
        <v xml:space="preserve">  </v>
      </c>
      <c r="J110" t="str">
        <f>"washington"</f>
        <v>washington</v>
      </c>
      <c r="K110" t="str">
        <f>"DC"</f>
        <v>DC</v>
      </c>
      <c r="L110" t="str">
        <f>"20036"</f>
        <v>20036</v>
      </c>
      <c r="M110" t="str">
        <f>"Large Business"</f>
        <v>Large Business</v>
      </c>
      <c r="N110" t="str">
        <f>""</f>
        <v/>
      </c>
    </row>
    <row r="111" spans="1:14" x14ac:dyDescent="0.35">
      <c r="A111" t="s">
        <v>1029</v>
      </c>
      <c r="B111" t="s">
        <v>374</v>
      </c>
      <c r="C111" s="2" t="s">
        <v>1030</v>
      </c>
      <c r="D111" t="str">
        <f>"President and CEO"</f>
        <v>President and CEO</v>
      </c>
      <c r="E111" t="s">
        <v>22</v>
      </c>
      <c r="F111" t="str">
        <f>"SBG Technology Solutions, Inc."</f>
        <v>SBG Technology Solutions, Inc.</v>
      </c>
      <c r="G111" t="str">
        <f>"1-703-299-9093"</f>
        <v>1-703-299-9093</v>
      </c>
      <c r="H111" t="str">
        <f>"1737 King Street"</f>
        <v>1737 King Street</v>
      </c>
      <c r="I111" t="str">
        <f>"Suite 601"</f>
        <v>Suite 601</v>
      </c>
      <c r="J111" t="str">
        <f>"Alexandria"</f>
        <v>Alexandria</v>
      </c>
      <c r="K111" t="str">
        <f>"VA"</f>
        <v>VA</v>
      </c>
      <c r="L111" t="str">
        <f>"22314"</f>
        <v>22314</v>
      </c>
      <c r="M111" t="str">
        <f>"Large Business"</f>
        <v>Large Business</v>
      </c>
      <c r="N111" t="str">
        <f>"sbgts.com"</f>
        <v>sbgts.com</v>
      </c>
    </row>
    <row r="112" spans="1:14" x14ac:dyDescent="0.35">
      <c r="A112" t="s">
        <v>459</v>
      </c>
      <c r="B112" t="s">
        <v>311</v>
      </c>
      <c r="C112" s="2" t="s">
        <v>460</v>
      </c>
      <c r="D112" t="str">
        <f>"Partner"</f>
        <v>Partner</v>
      </c>
      <c r="E112" s="1"/>
      <c r="F112" t="str">
        <f>"Ferlise and Associates"</f>
        <v>Ferlise and Associates</v>
      </c>
      <c r="G112" t="str">
        <f>"1-7322326445"</f>
        <v>1-7322326445</v>
      </c>
      <c r="H112" t="str">
        <f>"254 South Shor Drive"</f>
        <v>254 South Shor Drive</v>
      </c>
      <c r="I112" t="str">
        <f>"  "</f>
        <v xml:space="preserve">  </v>
      </c>
      <c r="J112" t="str">
        <f>"Toms River"</f>
        <v>Toms River</v>
      </c>
      <c r="K112" t="str">
        <f>"NJ"</f>
        <v>NJ</v>
      </c>
      <c r="L112" t="str">
        <f>"08753"</f>
        <v>08753</v>
      </c>
      <c r="M112" t="str">
        <f>"Small Business"</f>
        <v>Small Business</v>
      </c>
      <c r="N112" t="str">
        <f>"FerliseAssociates.com"</f>
        <v>FerliseAssociates.com</v>
      </c>
    </row>
    <row r="113" spans="1:14" x14ac:dyDescent="0.35">
      <c r="A113" t="s">
        <v>652</v>
      </c>
      <c r="B113" t="s">
        <v>651</v>
      </c>
      <c r="C113" s="2" t="s">
        <v>653</v>
      </c>
      <c r="D113" t="str">
        <f>"Lead Associate, Contracts"</f>
        <v>Lead Associate, Contracts</v>
      </c>
      <c r="E113" s="1"/>
      <c r="F113" t="str">
        <f>"Booz Allen Hamilton, Inc."</f>
        <v>Booz Allen Hamilton, Inc.</v>
      </c>
      <c r="G113" t="str">
        <f>"1-732-345-2424"</f>
        <v>1-732-345-2424</v>
      </c>
      <c r="H113" t="str">
        <f>"1-13 Christopher Way"</f>
        <v>1-13 Christopher Way</v>
      </c>
      <c r="I113" t="str">
        <f>"  "</f>
        <v xml:space="preserve">  </v>
      </c>
      <c r="J113" t="str">
        <f>"Eatontown"</f>
        <v>Eatontown</v>
      </c>
      <c r="K113" t="str">
        <f>"New Jersey"</f>
        <v>New Jersey</v>
      </c>
      <c r="L113" t="str">
        <f>"07724"</f>
        <v>07724</v>
      </c>
      <c r="M113" t="str">
        <f>"Large Business"</f>
        <v>Large Business</v>
      </c>
      <c r="N113" t="str">
        <f>"www.bah.com"</f>
        <v>www.bah.com</v>
      </c>
    </row>
    <row r="114" spans="1:14" x14ac:dyDescent="0.35">
      <c r="A114" t="s">
        <v>298</v>
      </c>
      <c r="B114" t="s">
        <v>97</v>
      </c>
      <c r="C114" s="2" t="s">
        <v>299</v>
      </c>
      <c r="D114" t="str">
        <f>"Director of Federal Sales"</f>
        <v>Director of Federal Sales</v>
      </c>
      <c r="E114" s="1"/>
      <c r="F114" t="str">
        <f>"Liquidware"</f>
        <v>Liquidware</v>
      </c>
      <c r="G114" t="str">
        <f>"1-678-397-0450"</f>
        <v>1-678-397-0450</v>
      </c>
      <c r="H114" t="str">
        <f>"630 N. North Court"</f>
        <v>630 N. North Court</v>
      </c>
      <c r="I114" t="str">
        <f>"Suite 200"</f>
        <v>Suite 200</v>
      </c>
      <c r="J114" t="str">
        <f>"Palatine"</f>
        <v>Palatine</v>
      </c>
      <c r="K114" t="str">
        <f>"IL"</f>
        <v>IL</v>
      </c>
      <c r="L114" t="str">
        <f>"60067"</f>
        <v>60067</v>
      </c>
      <c r="M114" t="str">
        <f>"Small Business"</f>
        <v>Small Business</v>
      </c>
      <c r="N114" t="str">
        <f>"www.liquidware.com"</f>
        <v>www.liquidware.com</v>
      </c>
    </row>
    <row r="115" spans="1:14" x14ac:dyDescent="0.35">
      <c r="A115" t="s">
        <v>378</v>
      </c>
      <c r="B115" t="s">
        <v>739</v>
      </c>
      <c r="C115" s="2" t="s">
        <v>740</v>
      </c>
      <c r="D115" t="str">
        <f>"Account Executive"</f>
        <v>Account Executive</v>
      </c>
      <c r="E115" t="s">
        <v>22</v>
      </c>
      <c r="F115" t="str">
        <f>"B3 Group"</f>
        <v>B3 Group</v>
      </c>
      <c r="G115" t="str">
        <f>"1-15125698078"</f>
        <v>1-15125698078</v>
      </c>
      <c r="H115" t="str">
        <f>"13241 Woodland Park Rd"</f>
        <v>13241 Woodland Park Rd</v>
      </c>
      <c r="I115" t="str">
        <f>"  "</f>
        <v xml:space="preserve">  </v>
      </c>
      <c r="J115" t="str">
        <f>"Herndon"</f>
        <v>Herndon</v>
      </c>
      <c r="K115" t="str">
        <f>"VA"</f>
        <v>VA</v>
      </c>
      <c r="L115" t="str">
        <f>"20171"</f>
        <v>20171</v>
      </c>
      <c r="M115" t="str">
        <f>"Large Business"</f>
        <v>Large Business</v>
      </c>
      <c r="N115" t="str">
        <f>"www.b3groupinc.cpm"</f>
        <v>www.b3groupinc.cpm</v>
      </c>
    </row>
    <row r="116" spans="1:14" x14ac:dyDescent="0.35">
      <c r="A116" t="s">
        <v>582</v>
      </c>
      <c r="B116" t="s">
        <v>581</v>
      </c>
      <c r="C116" s="2" t="s">
        <v>583</v>
      </c>
      <c r="D116" t="str">
        <f>"Program Manager"</f>
        <v>Program Manager</v>
      </c>
      <c r="E116" t="s">
        <v>22</v>
      </c>
      <c r="F116" t="str">
        <f>"IronArch Technology"</f>
        <v>IronArch Technology</v>
      </c>
      <c r="G116" t="str">
        <f>"1-571-766-6670"</f>
        <v>1-571-766-6670</v>
      </c>
      <c r="H116" t="str">
        <f>"1313 Dolley Madison Blvd"</f>
        <v>1313 Dolley Madison Blvd</v>
      </c>
      <c r="I116" t="str">
        <f>"Suite 404"</f>
        <v>Suite 404</v>
      </c>
      <c r="J116" t="str">
        <f>"McLean"</f>
        <v>McLean</v>
      </c>
      <c r="K116" t="str">
        <f>"VA"</f>
        <v>VA</v>
      </c>
      <c r="L116" t="str">
        <f>"22101"</f>
        <v>22101</v>
      </c>
      <c r="M116" t="str">
        <f>"SDVOSB|Small Business"</f>
        <v>SDVOSB|Small Business</v>
      </c>
      <c r="N116" t="str">
        <f>"www.ironarchtechnology.com"</f>
        <v>www.ironarchtechnology.com</v>
      </c>
    </row>
    <row r="117" spans="1:14" x14ac:dyDescent="0.35">
      <c r="A117" t="s">
        <v>87</v>
      </c>
      <c r="B117" t="s">
        <v>86</v>
      </c>
      <c r="C117" s="2" t="s">
        <v>697</v>
      </c>
      <c r="D117" t="str">
        <f>"VP Business Development"</f>
        <v>VP Business Development</v>
      </c>
      <c r="E117" s="1"/>
      <c r="F117" t="str">
        <f>"Acuity International"</f>
        <v>Acuity International</v>
      </c>
      <c r="G117" t="str">
        <f>"1-7038957974"</f>
        <v>1-7038957974</v>
      </c>
      <c r="H117" t="str">
        <f>"10701 Parkridge Blvd. Suite 200"</f>
        <v>10701 Parkridge Blvd. Suite 200</v>
      </c>
      <c r="I117" t="str">
        <f>"  "</f>
        <v xml:space="preserve">  </v>
      </c>
      <c r="J117" t="str">
        <f>"Reston"</f>
        <v>Reston</v>
      </c>
      <c r="K117" t="str">
        <f>"Virginia"</f>
        <v>Virginia</v>
      </c>
      <c r="L117" t="str">
        <f>"20191"</f>
        <v>20191</v>
      </c>
      <c r="M117" t="str">
        <f>"Large Business"</f>
        <v>Large Business</v>
      </c>
      <c r="N117" t="str">
        <f>"www.acuityinternational.com"</f>
        <v>www.acuityinternational.com</v>
      </c>
    </row>
    <row r="118" spans="1:14" x14ac:dyDescent="0.35">
      <c r="A118" t="s">
        <v>343</v>
      </c>
      <c r="B118" t="s">
        <v>342</v>
      </c>
      <c r="C118" s="2" t="s">
        <v>344</v>
      </c>
      <c r="D118" t="str">
        <f>"COO"</f>
        <v>COO</v>
      </c>
      <c r="E118" s="1"/>
      <c r="F118" t="str">
        <f>"FordHall Technology"</f>
        <v>FordHall Technology</v>
      </c>
      <c r="G118" t="str">
        <f>"1-2402770063"</f>
        <v>1-2402770063</v>
      </c>
      <c r="H118" t="str">
        <f>"3100 Montebello Ter"</f>
        <v>3100 Montebello Ter</v>
      </c>
      <c r="I118" t="str">
        <f>"  "</f>
        <v xml:space="preserve">  </v>
      </c>
      <c r="J118" t="str">
        <f>"BALTIMORE"</f>
        <v>BALTIMORE</v>
      </c>
      <c r="K118" t="str">
        <f>"MD"</f>
        <v>MD</v>
      </c>
      <c r="L118" t="str">
        <f>"21214"</f>
        <v>21214</v>
      </c>
      <c r="M118" t="str">
        <f>"SDVOSB"</f>
        <v>SDVOSB</v>
      </c>
      <c r="N118" t="str">
        <f>"Www.FordHall tech.com"</f>
        <v>Www.FordHall tech.com</v>
      </c>
    </row>
    <row r="119" spans="1:14" x14ac:dyDescent="0.35">
      <c r="A119" t="s">
        <v>343</v>
      </c>
      <c r="B119" t="s">
        <v>631</v>
      </c>
      <c r="C119" s="2" t="s">
        <v>680</v>
      </c>
      <c r="D119" t="str">
        <f>"Proposal Manager"</f>
        <v>Proposal Manager</v>
      </c>
      <c r="E119" t="s">
        <v>22</v>
      </c>
      <c r="F119" t="str">
        <f>"Savvee Consulting"</f>
        <v>Savvee Consulting</v>
      </c>
      <c r="G119" t="str">
        <f>"1-5033278475"</f>
        <v>1-5033278475</v>
      </c>
      <c r="H119" t="str">
        <f>"4100 Lafayette Center Drive"</f>
        <v>4100 Lafayette Center Drive</v>
      </c>
      <c r="I119" t="str">
        <f>"Suite 105"</f>
        <v>Suite 105</v>
      </c>
      <c r="J119" t="str">
        <f>"Chantilly"</f>
        <v>Chantilly</v>
      </c>
      <c r="K119" t="str">
        <f>"VA"</f>
        <v>VA</v>
      </c>
      <c r="L119" t="str">
        <f>"20151"</f>
        <v>20151</v>
      </c>
      <c r="M119" t="str">
        <f>"SDVOSB|VOSB|Small Business"</f>
        <v>SDVOSB|VOSB|Small Business</v>
      </c>
      <c r="N119" t="str">
        <f>"www.savvee.biz"</f>
        <v>www.savvee.biz</v>
      </c>
    </row>
    <row r="120" spans="1:14" x14ac:dyDescent="0.35">
      <c r="A120" t="s">
        <v>281</v>
      </c>
      <c r="B120" t="s">
        <v>248</v>
      </c>
      <c r="C120" s="2" t="s">
        <v>282</v>
      </c>
      <c r="D120" t="str">
        <f>"Business Development"</f>
        <v>Business Development</v>
      </c>
      <c r="E120" t="s">
        <v>22</v>
      </c>
      <c r="F120" t="str">
        <f>"Sterling Computers"</f>
        <v>Sterling Computers</v>
      </c>
      <c r="G120" t="str">
        <f>"1-3213770747"</f>
        <v>1-3213770747</v>
      </c>
      <c r="H120" t="str">
        <f>"PO Box 1995"</f>
        <v>PO Box 1995</v>
      </c>
      <c r="I120" t="str">
        <f>"3030 Centennial Drive"</f>
        <v>3030 Centennial Drive</v>
      </c>
      <c r="J120" t="str">
        <f>"North Sioux City"</f>
        <v>North Sioux City</v>
      </c>
      <c r="K120" t="str">
        <f>"SD"</f>
        <v>SD</v>
      </c>
      <c r="L120" t="str">
        <f>"57049"</f>
        <v>57049</v>
      </c>
      <c r="M120" t="str">
        <f>"WOSB"</f>
        <v>WOSB</v>
      </c>
      <c r="N120" t="str">
        <f>"www.sterling.com"</f>
        <v>www.sterling.com</v>
      </c>
    </row>
    <row r="121" spans="1:14" x14ac:dyDescent="0.35">
      <c r="A121" t="s">
        <v>521</v>
      </c>
      <c r="B121" t="s">
        <v>520</v>
      </c>
      <c r="C121" s="2" t="s">
        <v>522</v>
      </c>
      <c r="D121" t="str">
        <f>"Business Development Associate"</f>
        <v>Business Development Associate</v>
      </c>
      <c r="E121" s="1"/>
      <c r="F121" t="str">
        <f>"Civis Analytics"</f>
        <v>Civis Analytics</v>
      </c>
      <c r="G121" t="str">
        <f>"1-4704737355"</f>
        <v>1-4704737355</v>
      </c>
      <c r="H121" t="str">
        <f>"232, Bollen Lane"</f>
        <v>232, Bollen Lane</v>
      </c>
      <c r="I121" t="str">
        <f>"  "</f>
        <v xml:space="preserve">  </v>
      </c>
      <c r="J121" t="str">
        <f>"Hiram"</f>
        <v>Hiram</v>
      </c>
      <c r="K121" t="str">
        <f>"GA"</f>
        <v>GA</v>
      </c>
      <c r="L121" t="str">
        <f>"30141"</f>
        <v>30141</v>
      </c>
      <c r="M121" t="str">
        <f>"Small Business"</f>
        <v>Small Business</v>
      </c>
      <c r="N121" t="str">
        <f>""</f>
        <v/>
      </c>
    </row>
    <row r="122" spans="1:14" x14ac:dyDescent="0.35">
      <c r="A122" t="s">
        <v>595</v>
      </c>
      <c r="B122" t="s">
        <v>594</v>
      </c>
      <c r="C122" s="2" t="s">
        <v>596</v>
      </c>
      <c r="D122" t="str">
        <f>"cgo"</f>
        <v>cgo</v>
      </c>
      <c r="E122" t="s">
        <v>22</v>
      </c>
      <c r="F122" t="str">
        <f>"SIERRA7"</f>
        <v>SIERRA7</v>
      </c>
      <c r="G122" t="str">
        <f>"1-7039552127"</f>
        <v>1-7039552127</v>
      </c>
      <c r="H122" t="str">
        <f>"3190 fairview park drive"</f>
        <v>3190 fairview park drive</v>
      </c>
      <c r="I122" t="str">
        <f>"suite 350"</f>
        <v>suite 350</v>
      </c>
      <c r="J122" t="str">
        <f>"falls church"</f>
        <v>falls church</v>
      </c>
      <c r="K122" t="str">
        <f>"va"</f>
        <v>va</v>
      </c>
      <c r="L122" t="str">
        <f>"20170"</f>
        <v>20170</v>
      </c>
      <c r="M122" t="str">
        <f>"SDVOSB|VOSB|Small Business"</f>
        <v>SDVOSB|VOSB|Small Business</v>
      </c>
      <c r="N122" t="str">
        <f>"www.sierra7.com"</f>
        <v>www.sierra7.com</v>
      </c>
    </row>
    <row r="123" spans="1:14" x14ac:dyDescent="0.35">
      <c r="A123" t="s">
        <v>175</v>
      </c>
      <c r="B123" t="s">
        <v>174</v>
      </c>
      <c r="C123" s="2" t="s">
        <v>176</v>
      </c>
      <c r="D123" t="str">
        <f>"Director Business Development"</f>
        <v>Director Business Development</v>
      </c>
      <c r="E123" t="s">
        <v>22</v>
      </c>
      <c r="F123" t="str">
        <f>"Technatomy"</f>
        <v>Technatomy</v>
      </c>
      <c r="G123" t="str">
        <f>"1-(703) 268-5525"</f>
        <v>1-(703) 268-5525</v>
      </c>
      <c r="H123" t="str">
        <f>"3877 Fairfax Ridge Road"</f>
        <v>3877 Fairfax Ridge Road</v>
      </c>
      <c r="I123" t="str">
        <f>"  "</f>
        <v xml:space="preserve">  </v>
      </c>
      <c r="J123" t="str">
        <f>"Fairfax"</f>
        <v>Fairfax</v>
      </c>
      <c r="K123" t="str">
        <f>"VA"</f>
        <v>VA</v>
      </c>
      <c r="L123" t="str">
        <f>"22030"</f>
        <v>22030</v>
      </c>
      <c r="M123" t="str">
        <f>"SDVOSB|VOSB|Small Business|Small Disadvantaged Business"</f>
        <v>SDVOSB|VOSB|Small Business|Small Disadvantaged Business</v>
      </c>
      <c r="N123" t="str">
        <f>""</f>
        <v/>
      </c>
    </row>
    <row r="124" spans="1:14" x14ac:dyDescent="0.35">
      <c r="A124" t="s">
        <v>635</v>
      </c>
      <c r="B124" t="s">
        <v>76</v>
      </c>
      <c r="C124" s="2" t="s">
        <v>636</v>
      </c>
      <c r="D124" t="str">
        <f>"Global Client Director - Federal Healthcare"</f>
        <v>Global Client Director - Federal Healthcare</v>
      </c>
      <c r="E124" s="1"/>
      <c r="F124" t="str">
        <f>"ServiceNow"</f>
        <v>ServiceNow</v>
      </c>
      <c r="G124" t="str">
        <f>"1-301-529-6153"</f>
        <v>1-301-529-6153</v>
      </c>
      <c r="H124" t="str">
        <f>"8045 Leesburg Pike"</f>
        <v>8045 Leesburg Pike</v>
      </c>
      <c r="I124" t="str">
        <f>"  "</f>
        <v xml:space="preserve">  </v>
      </c>
      <c r="J124" t="str">
        <f>"Vienna"</f>
        <v>Vienna</v>
      </c>
      <c r="K124" t="str">
        <f>"VA"</f>
        <v>VA</v>
      </c>
      <c r="L124" t="str">
        <f>"22182"</f>
        <v>22182</v>
      </c>
      <c r="M124" t="str">
        <f>"Large Business"</f>
        <v>Large Business</v>
      </c>
      <c r="N124" t="str">
        <f>"www.servicenow.com"</f>
        <v>www.servicenow.com</v>
      </c>
    </row>
    <row r="125" spans="1:14" x14ac:dyDescent="0.35">
      <c r="A125" t="s">
        <v>550</v>
      </c>
      <c r="B125" t="s">
        <v>239</v>
      </c>
      <c r="C125" s="2" t="s">
        <v>551</v>
      </c>
      <c r="D125" t="str">
        <f>"Contracts Manager"</f>
        <v>Contracts Manager</v>
      </c>
      <c r="E125" s="1"/>
      <c r="F125" t="str">
        <f>"Booz Allen Hamilton"</f>
        <v>Booz Allen Hamilton</v>
      </c>
      <c r="G125" t="str">
        <f>"1-14042760636"</f>
        <v>1-14042760636</v>
      </c>
      <c r="H125" t="str">
        <f>"8283 Greensboro Dr"</f>
        <v>8283 Greensboro Dr</v>
      </c>
      <c r="I125" t="str">
        <f>"  "</f>
        <v xml:space="preserve">  </v>
      </c>
      <c r="J125" t="str">
        <f>"McLean"</f>
        <v>McLean</v>
      </c>
      <c r="K125" t="str">
        <f>"VA"</f>
        <v>VA</v>
      </c>
      <c r="L125" t="str">
        <f>"22102"</f>
        <v>22102</v>
      </c>
      <c r="M125" t="str">
        <f>"Large Business"</f>
        <v>Large Business</v>
      </c>
      <c r="N125" t="str">
        <f>"bah.com"</f>
        <v>bah.com</v>
      </c>
    </row>
    <row r="126" spans="1:14" x14ac:dyDescent="0.35">
      <c r="A126" t="s">
        <v>693</v>
      </c>
      <c r="B126" t="s">
        <v>480</v>
      </c>
      <c r="C126" s="2" t="s">
        <v>694</v>
      </c>
      <c r="D126" t="str">
        <f>"Senior Research Leader"</f>
        <v>Senior Research Leader</v>
      </c>
      <c r="E126" t="s">
        <v>23</v>
      </c>
      <c r="F126" t="str">
        <f>"Battelle Memorial Institute"</f>
        <v>Battelle Memorial Institute</v>
      </c>
      <c r="G126" t="str">
        <f>"1-16144245111"</f>
        <v>1-16144245111</v>
      </c>
      <c r="H126" t="str">
        <f>"505 King Ave"</f>
        <v>505 King Ave</v>
      </c>
      <c r="I126" t="str">
        <f>"  "</f>
        <v xml:space="preserve">  </v>
      </c>
      <c r="J126" t="str">
        <f>"Columbus"</f>
        <v>Columbus</v>
      </c>
      <c r="K126" t="str">
        <f>"OH"</f>
        <v>OH</v>
      </c>
      <c r="L126" t="str">
        <f>"43201"</f>
        <v>43201</v>
      </c>
      <c r="M126" t="str">
        <f>"Large Business"</f>
        <v>Large Business</v>
      </c>
      <c r="N126" t="str">
        <f>""</f>
        <v/>
      </c>
    </row>
    <row r="127" spans="1:14" x14ac:dyDescent="0.35">
      <c r="A127" t="s">
        <v>982</v>
      </c>
      <c r="B127" t="s">
        <v>981</v>
      </c>
      <c r="C127" s="2" t="s">
        <v>983</v>
      </c>
      <c r="D127" t="str">
        <f>"Sr Vice President"</f>
        <v>Sr Vice President</v>
      </c>
      <c r="E127" t="s">
        <v>23</v>
      </c>
      <c r="F127" t="str">
        <f>"CGI Federal"</f>
        <v>CGI Federal</v>
      </c>
      <c r="G127" t="str">
        <f>"1-7035987639"</f>
        <v>1-7035987639</v>
      </c>
      <c r="H127" t="str">
        <f>"1000 North Glebe Road"</f>
        <v>1000 North Glebe Road</v>
      </c>
      <c r="I127" t="str">
        <f>"  "</f>
        <v xml:space="preserve">  </v>
      </c>
      <c r="J127" t="str">
        <f>"Arlington"</f>
        <v>Arlington</v>
      </c>
      <c r="K127" t="str">
        <f>"VA"</f>
        <v>VA</v>
      </c>
      <c r="L127" t="str">
        <f>"22201"</f>
        <v>22201</v>
      </c>
      <c r="M127" t="str">
        <f>"Large Business"</f>
        <v>Large Business</v>
      </c>
      <c r="N127" t="str">
        <f>"cgi.com"</f>
        <v>cgi.com</v>
      </c>
    </row>
    <row r="128" spans="1:14" x14ac:dyDescent="0.35">
      <c r="A128" t="s">
        <v>832</v>
      </c>
      <c r="B128" t="s">
        <v>14</v>
      </c>
      <c r="C128" s="2" t="s">
        <v>833</v>
      </c>
      <c r="D128" t="str">
        <f>"CEO"</f>
        <v>CEO</v>
      </c>
      <c r="E128" s="1"/>
      <c r="F128" t="str">
        <f>"Federal Business, LLC"</f>
        <v>Federal Business, LLC</v>
      </c>
      <c r="G128" t="str">
        <f>"1-5715344700"</f>
        <v>1-5715344700</v>
      </c>
      <c r="H128" t="str">
        <f>"8609 Westwood Center Dr Suite 110"</f>
        <v>8609 Westwood Center Dr Suite 110</v>
      </c>
      <c r="I128" t="str">
        <f>"  "</f>
        <v xml:space="preserve">  </v>
      </c>
      <c r="J128" t="str">
        <f>"Vienna"</f>
        <v>Vienna</v>
      </c>
      <c r="K128" t="str">
        <f>"Virginia"</f>
        <v>Virginia</v>
      </c>
      <c r="L128" t="str">
        <f>"22182"</f>
        <v>22182</v>
      </c>
      <c r="M128" t="str">
        <f>"Small Business"</f>
        <v>Small Business</v>
      </c>
      <c r="N128" t="str">
        <f>"www.federalbiz.com"</f>
        <v>www.federalbiz.com</v>
      </c>
    </row>
    <row r="129" spans="1:14" x14ac:dyDescent="0.35">
      <c r="A129" t="s">
        <v>284</v>
      </c>
      <c r="B129" t="s">
        <v>283</v>
      </c>
      <c r="C129" s="2" t="s">
        <v>285</v>
      </c>
      <c r="D129" t="str">
        <f>"Account Manager"</f>
        <v>Account Manager</v>
      </c>
      <c r="E129" s="1"/>
      <c r="F129" t="str">
        <f>"Amazon Web Services"</f>
        <v>Amazon Web Services</v>
      </c>
      <c r="G129" t="str">
        <f>"1-8149370618"</f>
        <v>1-8149370618</v>
      </c>
      <c r="H129" t="str">
        <f>"2730 Sidney St"</f>
        <v>2730 Sidney St</v>
      </c>
      <c r="I129" t="str">
        <f>"  "</f>
        <v xml:space="preserve">  </v>
      </c>
      <c r="J129" t="str">
        <f>"Pittsburgh"</f>
        <v>Pittsburgh</v>
      </c>
      <c r="K129" t="str">
        <f>"PA"</f>
        <v>PA</v>
      </c>
      <c r="L129" t="str">
        <f>"15023"</f>
        <v>15023</v>
      </c>
      <c r="M129" t="str">
        <f>"Large Business"</f>
        <v>Large Business</v>
      </c>
      <c r="N129" t="str">
        <f>""</f>
        <v/>
      </c>
    </row>
    <row r="130" spans="1:14" x14ac:dyDescent="0.35">
      <c r="A130" t="s">
        <v>204</v>
      </c>
      <c r="B130" t="s">
        <v>203</v>
      </c>
      <c r="C130" s="2" t="s">
        <v>205</v>
      </c>
      <c r="D130" t="str">
        <f>"Partner"</f>
        <v>Partner</v>
      </c>
      <c r="E130" s="1"/>
      <c r="F130" t="str">
        <f>"Potomac Ridge Consulting"</f>
        <v>Potomac Ridge Consulting</v>
      </c>
      <c r="G130" t="str">
        <f>"1-7033281645"</f>
        <v>1-7033281645</v>
      </c>
      <c r="H130" t="str">
        <f>"7413 Brian Run Ct"</f>
        <v>7413 Brian Run Ct</v>
      </c>
      <c r="I130" t="str">
        <f>"  "</f>
        <v xml:space="preserve">  </v>
      </c>
      <c r="J130" t="str">
        <f>"Springfield"</f>
        <v>Springfield</v>
      </c>
      <c r="K130" t="str">
        <f>"Virginia"</f>
        <v>Virginia</v>
      </c>
      <c r="L130" t="str">
        <f>"22153"</f>
        <v>22153</v>
      </c>
      <c r="M130" t="str">
        <f>"Small Business"</f>
        <v>Small Business</v>
      </c>
      <c r="N130" t="str">
        <f>"https://potomacridgeconsulting.com/"</f>
        <v>https://potomacridgeconsulting.com/</v>
      </c>
    </row>
    <row r="131" spans="1:14" x14ac:dyDescent="0.35">
      <c r="A131" t="s">
        <v>1108</v>
      </c>
      <c r="B131" t="s">
        <v>419</v>
      </c>
      <c r="C131" s="2" t="s">
        <v>1109</v>
      </c>
      <c r="D131" t="str">
        <f>"Federal Healthcare Programs"</f>
        <v>Federal Healthcare Programs</v>
      </c>
      <c r="E131" s="1"/>
      <c r="F131" t="str">
        <f>"Business Development"</f>
        <v>Business Development</v>
      </c>
      <c r="G131" t="str">
        <f>"1-4438715675"</f>
        <v>1-4438715675</v>
      </c>
      <c r="H131" t="str">
        <f>"13200 Woodland Park Rd"</f>
        <v>13200 Woodland Park Rd</v>
      </c>
      <c r="I131" t="str">
        <f>"  "</f>
        <v xml:space="preserve">  </v>
      </c>
      <c r="J131" t="str">
        <f>"Herndon"</f>
        <v>Herndon</v>
      </c>
      <c r="K131" t="str">
        <f>"VA"</f>
        <v>VA</v>
      </c>
      <c r="L131" t="str">
        <f>"20171"</f>
        <v>20171</v>
      </c>
      <c r="M131" t="str">
        <f>"N/A"</f>
        <v>N/A</v>
      </c>
      <c r="N131" t="str">
        <f>"amazon.com"</f>
        <v>amazon.com</v>
      </c>
    </row>
    <row r="132" spans="1:14" x14ac:dyDescent="0.35">
      <c r="A132" t="s">
        <v>265</v>
      </c>
      <c r="B132" t="s">
        <v>264</v>
      </c>
      <c r="C132" s="2" t="s">
        <v>266</v>
      </c>
      <c r="D132" t="str">
        <f>"TSS SR04 Task Lead"</f>
        <v>TSS SR04 Task Lead</v>
      </c>
      <c r="E132" t="s">
        <v>23</v>
      </c>
      <c r="F132" t="str">
        <f>"Booz Allen Hamilton"</f>
        <v>Booz Allen Hamilton</v>
      </c>
      <c r="G132" t="str">
        <f>"1-8134159959"</f>
        <v>1-8134159959</v>
      </c>
      <c r="H132" t="str">
        <f>"4890 W. Kennedy Blvd #475"</f>
        <v>4890 W. Kennedy Blvd #475</v>
      </c>
      <c r="I132" t="str">
        <f>"Tampa "</f>
        <v xml:space="preserve">Tampa </v>
      </c>
      <c r="J132" t="str">
        <f>"FL"</f>
        <v>FL</v>
      </c>
      <c r="K132" t="str">
        <f>"33609"</f>
        <v>33609</v>
      </c>
      <c r="L132" t="str">
        <f>"United States"</f>
        <v>United States</v>
      </c>
      <c r="M132" t="str">
        <f>"Large Business"</f>
        <v>Large Business</v>
      </c>
      <c r="N132" t="str">
        <f>""</f>
        <v/>
      </c>
    </row>
    <row r="133" spans="1:14" x14ac:dyDescent="0.35">
      <c r="A133" t="s">
        <v>842</v>
      </c>
      <c r="B133" t="s">
        <v>841</v>
      </c>
      <c r="C133" s="2" t="s">
        <v>843</v>
      </c>
      <c r="D133" t="str">
        <f>"VP, Sales"</f>
        <v>VP, Sales</v>
      </c>
      <c r="E133" s="1"/>
      <c r="F133" t="str">
        <f>"Four Points Technology"</f>
        <v>Four Points Technology</v>
      </c>
      <c r="G133" t="str">
        <f>"1-7036576115"</f>
        <v>1-7036576115</v>
      </c>
      <c r="H133" t="str">
        <f>"14900 Conference Center Drive"</f>
        <v>14900 Conference Center Drive</v>
      </c>
      <c r="I133" t="str">
        <f>"Suite 100"</f>
        <v>Suite 100</v>
      </c>
      <c r="J133" t="str">
        <f>"Chantilly"</f>
        <v>Chantilly</v>
      </c>
      <c r="K133" t="str">
        <f>"VA"</f>
        <v>VA</v>
      </c>
      <c r="L133" t="str">
        <f>"20151"</f>
        <v>20151</v>
      </c>
      <c r="M133" t="str">
        <f>"SDVOSB"</f>
        <v>SDVOSB</v>
      </c>
      <c r="N133" t="str">
        <f>"www.4points.com"</f>
        <v>www.4points.com</v>
      </c>
    </row>
    <row r="134" spans="1:14" x14ac:dyDescent="0.35">
      <c r="A134" t="s">
        <v>249</v>
      </c>
      <c r="B134" t="s">
        <v>248</v>
      </c>
      <c r="C134" s="2" t="s">
        <v>250</v>
      </c>
      <c r="D134" t="str">
        <f>"Vice President, Growth &amp; Client Development"</f>
        <v>Vice President, Growth &amp; Client Development</v>
      </c>
      <c r="E134" t="s">
        <v>22</v>
      </c>
      <c r="F134" t="str">
        <f>"Aptive Resources"</f>
        <v>Aptive Resources</v>
      </c>
      <c r="G134" t="str">
        <f>"1-2406263153"</f>
        <v>1-2406263153</v>
      </c>
      <c r="H134" t="str">
        <f>"110 N Royal St Suite #400"</f>
        <v>110 N Royal St Suite #400</v>
      </c>
      <c r="I134" t="str">
        <f>"  "</f>
        <v xml:space="preserve">  </v>
      </c>
      <c r="J134" t="str">
        <f>"Alexandria"</f>
        <v>Alexandria</v>
      </c>
      <c r="K134" t="str">
        <f>"VIRGINIA"</f>
        <v>VIRGINIA</v>
      </c>
      <c r="L134" t="str">
        <f>"22314"</f>
        <v>22314</v>
      </c>
      <c r="M134" t="str">
        <f>"SDVOSB|WOSB|Small Business|Small Disadvantaged Business"</f>
        <v>SDVOSB|WOSB|Small Business|Small Disadvantaged Business</v>
      </c>
      <c r="N134" t="str">
        <f>"www.aptiveresources.com"</f>
        <v>www.aptiveresources.com</v>
      </c>
    </row>
    <row r="135" spans="1:14" x14ac:dyDescent="0.35">
      <c r="A135" t="s">
        <v>484</v>
      </c>
      <c r="B135" t="s">
        <v>483</v>
      </c>
      <c r="C135" s="2" t="s">
        <v>485</v>
      </c>
      <c r="D135" t="str">
        <f>"Director Business Development"</f>
        <v>Director Business Development</v>
      </c>
      <c r="E135" t="s">
        <v>22</v>
      </c>
      <c r="F135" t="str">
        <f>"Sierra7"</f>
        <v>Sierra7</v>
      </c>
      <c r="G135" t="str">
        <f>"1-13015359738"</f>
        <v>1-13015359738</v>
      </c>
      <c r="H135" t="str">
        <f>"3190 Fairview park Drive"</f>
        <v>3190 Fairview park Drive</v>
      </c>
      <c r="I135" t="str">
        <f>"suite 350"</f>
        <v>suite 350</v>
      </c>
      <c r="J135" t="str">
        <f>"Falls Church"</f>
        <v>Falls Church</v>
      </c>
      <c r="K135" t="str">
        <f>"VA"</f>
        <v>VA</v>
      </c>
      <c r="L135" t="str">
        <f>"22042"</f>
        <v>22042</v>
      </c>
      <c r="M135" t="str">
        <f>"SDVOSB|VOSB|Small Business|Small Disadvantaged Business"</f>
        <v>SDVOSB|VOSB|Small Business|Small Disadvantaged Business</v>
      </c>
      <c r="N135" t="str">
        <f>"sierra7.com"</f>
        <v>sierra7.com</v>
      </c>
    </row>
    <row r="136" spans="1:14" x14ac:dyDescent="0.35">
      <c r="A136" t="s">
        <v>229</v>
      </c>
      <c r="B136" t="s">
        <v>27</v>
      </c>
      <c r="C136" s="2" t="s">
        <v>230</v>
      </c>
      <c r="D136" t="str">
        <f>"President and COO"</f>
        <v>President and COO</v>
      </c>
      <c r="E136" s="1"/>
      <c r="F136" t="str">
        <f>"Integres, LLC"</f>
        <v>Integres, LLC</v>
      </c>
      <c r="G136" t="str">
        <f>"1-3014665614"</f>
        <v>1-3014665614</v>
      </c>
      <c r="H136" t="str">
        <f>"9658 Baltimore Ave, Ste300"</f>
        <v>9658 Baltimore Ave, Ste300</v>
      </c>
      <c r="I136" t="str">
        <f>"  "</f>
        <v xml:space="preserve">  </v>
      </c>
      <c r="J136" t="str">
        <f>"College Park"</f>
        <v>College Park</v>
      </c>
      <c r="K136" t="str">
        <f>"MD"</f>
        <v>MD</v>
      </c>
      <c r="L136" t="str">
        <f>"20740"</f>
        <v>20740</v>
      </c>
      <c r="M136" t="str">
        <f>"8(A)|SDVOSB|VOSB|HUBZone|Small Business|Small Disadvantaged Business"</f>
        <v>8(A)|SDVOSB|VOSB|HUBZone|Small Business|Small Disadvantaged Business</v>
      </c>
      <c r="N136" t="str">
        <f>"www.integrestech.com"</f>
        <v>www.integrestech.com</v>
      </c>
    </row>
    <row r="137" spans="1:14" x14ac:dyDescent="0.35">
      <c r="A137" t="s">
        <v>279</v>
      </c>
      <c r="B137" t="s">
        <v>278</v>
      </c>
      <c r="C137" s="2" t="s">
        <v>280</v>
      </c>
      <c r="D137" t="str">
        <f>"Director"</f>
        <v>Director</v>
      </c>
      <c r="E137" t="s">
        <v>34</v>
      </c>
      <c r="F137" t="str">
        <f>"Iron Bow"</f>
        <v>Iron Bow</v>
      </c>
      <c r="G137" t="str">
        <f>"1-3013512044"</f>
        <v>1-3013512044</v>
      </c>
      <c r="H137" t="str">
        <f>"1401 mercantile lane"</f>
        <v>1401 mercantile lane</v>
      </c>
      <c r="I137" t="str">
        <f>"suite 300"</f>
        <v>suite 300</v>
      </c>
      <c r="J137" t="str">
        <f>"largo"</f>
        <v>largo</v>
      </c>
      <c r="K137" t="str">
        <f>"md"</f>
        <v>md</v>
      </c>
      <c r="L137" t="str">
        <f>"20744"</f>
        <v>20744</v>
      </c>
      <c r="M137" t="str">
        <f>"Large Business"</f>
        <v>Large Business</v>
      </c>
      <c r="N137" t="str">
        <f>"www.ironbow.com"</f>
        <v>www.ironbow.com</v>
      </c>
    </row>
    <row r="138" spans="1:14" x14ac:dyDescent="0.35">
      <c r="A138" t="s">
        <v>243</v>
      </c>
      <c r="B138" t="s">
        <v>242</v>
      </c>
      <c r="C138" s="2" t="s">
        <v>244</v>
      </c>
      <c r="D138" t="str">
        <f>"President"</f>
        <v>President</v>
      </c>
      <c r="E138" s="1"/>
      <c r="F138" t="str">
        <f>"Avenir Mission Solutions"</f>
        <v>Avenir Mission Solutions</v>
      </c>
      <c r="G138" t="str">
        <f>"1-2108251357"</f>
        <v>1-2108251357</v>
      </c>
      <c r="H138" t="str">
        <f>"5338"</f>
        <v>5338</v>
      </c>
      <c r="I138" t="str">
        <f>"Osprey Oak"</f>
        <v>Osprey Oak</v>
      </c>
      <c r="J138" t="str">
        <f>"San Antonio"</f>
        <v>San Antonio</v>
      </c>
      <c r="K138" t="str">
        <f>"TX"</f>
        <v>TX</v>
      </c>
      <c r="L138" t="str">
        <f>"78253"</f>
        <v>78253</v>
      </c>
      <c r="M138" t="str">
        <f>"SDVOSB|VOSB|HUBZone|Small Business"</f>
        <v>SDVOSB|VOSB|HUBZone|Small Business</v>
      </c>
      <c r="N138" t="str">
        <f>"https://avenirmissionsolutions.com"</f>
        <v>https://avenirmissionsolutions.com</v>
      </c>
    </row>
    <row r="139" spans="1:14" x14ac:dyDescent="0.35">
      <c r="A139" t="s">
        <v>387</v>
      </c>
      <c r="B139" t="s">
        <v>133</v>
      </c>
      <c r="C139" s="2" t="s">
        <v>388</v>
      </c>
      <c r="D139" t="str">
        <f>"Account Executive"</f>
        <v>Account Executive</v>
      </c>
      <c r="E139" t="s">
        <v>22</v>
      </c>
      <c r="F139" t="str">
        <f>"Protegrity"</f>
        <v>Protegrity</v>
      </c>
      <c r="G139" t="str">
        <f>"1-3107810593"</f>
        <v>1-3107810593</v>
      </c>
      <c r="H139" t="str">
        <f>"1165 E Wilmington Avenue,"</f>
        <v>1165 E Wilmington Avenue,</v>
      </c>
      <c r="I139" t="str">
        <f>"Suite 200"</f>
        <v>Suite 200</v>
      </c>
      <c r="J139" t="str">
        <f>"Salt Lake City"</f>
        <v>Salt Lake City</v>
      </c>
      <c r="K139" t="str">
        <f>"UT"</f>
        <v>UT</v>
      </c>
      <c r="L139" t="str">
        <f>"84106"</f>
        <v>84106</v>
      </c>
      <c r="M139" t="str">
        <f>"Small Business"</f>
        <v>Small Business</v>
      </c>
      <c r="N139" t="str">
        <f>"www.protegrity.com"</f>
        <v>www.protegrity.com</v>
      </c>
    </row>
    <row r="140" spans="1:14" x14ac:dyDescent="0.35">
      <c r="A140" t="s">
        <v>252</v>
      </c>
      <c r="B140" t="s">
        <v>97</v>
      </c>
      <c r="C140" s="2" t="s">
        <v>253</v>
      </c>
      <c r="D140" t="str">
        <f>"Sr BD Manager"</f>
        <v>Sr BD Manager</v>
      </c>
      <c r="E140" s="1"/>
      <c r="F140" t="str">
        <f>"TIME Systems, LLC"</f>
        <v>TIME Systems, LLC</v>
      </c>
      <c r="G140" t="str">
        <f>"1-5714389394"</f>
        <v>1-5714389394</v>
      </c>
      <c r="H140" t="str">
        <f>"17932 Fraley Blvd"</f>
        <v>17932 Fraley Blvd</v>
      </c>
      <c r="I140" t="str">
        <f>"Suite 100"</f>
        <v>Suite 100</v>
      </c>
      <c r="J140" t="str">
        <f>"Dumfries"</f>
        <v>Dumfries</v>
      </c>
      <c r="K140" t="str">
        <f>"VA"</f>
        <v>VA</v>
      </c>
      <c r="L140" t="str">
        <f>"22026"</f>
        <v>22026</v>
      </c>
      <c r="M140" t="str">
        <f>"8(A)|SDVOSB|Small Business|Small Disadvantaged Business"</f>
        <v>8(A)|SDVOSB|Small Business|Small Disadvantaged Business</v>
      </c>
      <c r="N140" t="str">
        <f>"https://timesystemsllc.com/"</f>
        <v>https://timesystemsllc.com/</v>
      </c>
    </row>
    <row r="141" spans="1:14" x14ac:dyDescent="0.35">
      <c r="A141" t="s">
        <v>449</v>
      </c>
      <c r="B141" t="s">
        <v>302</v>
      </c>
      <c r="C141" s="2" t="s">
        <v>450</v>
      </c>
      <c r="D141" t="str">
        <f>"CSE"</f>
        <v>CSE</v>
      </c>
      <c r="E141" t="s">
        <v>23</v>
      </c>
      <c r="F141" t="str">
        <f>"VMware"</f>
        <v>VMware</v>
      </c>
      <c r="G141" t="str">
        <f>"1-5717309929"</f>
        <v>1-5717309929</v>
      </c>
      <c r="H141" t="str">
        <f>"12100 Sunset Hills Road"</f>
        <v>12100 Sunset Hills Road</v>
      </c>
      <c r="I141" t="str">
        <f>"  "</f>
        <v xml:space="preserve">  </v>
      </c>
      <c r="J141" t="str">
        <f>"Reston"</f>
        <v>Reston</v>
      </c>
      <c r="K141" t="str">
        <f>"VA"</f>
        <v>VA</v>
      </c>
      <c r="L141" t="str">
        <f>"20191"</f>
        <v>20191</v>
      </c>
      <c r="M141" t="str">
        <f>"N/A"</f>
        <v>N/A</v>
      </c>
      <c r="N141" t="str">
        <f>""</f>
        <v/>
      </c>
    </row>
    <row r="142" spans="1:14" x14ac:dyDescent="0.35">
      <c r="A142" t="s">
        <v>198</v>
      </c>
      <c r="B142" t="s">
        <v>197</v>
      </c>
      <c r="C142" s="2" t="s">
        <v>199</v>
      </c>
      <c r="D142" t="str">
        <f>"Vice President"</f>
        <v>Vice President</v>
      </c>
      <c r="E142" t="s">
        <v>22</v>
      </c>
      <c r="F142" t="str">
        <f>"Trilogy Federal"</f>
        <v>Trilogy Federal</v>
      </c>
      <c r="G142" t="str">
        <f>"1-7037894097"</f>
        <v>1-7037894097</v>
      </c>
      <c r="H142" t="str">
        <f>"1100 Wilson Blvd"</f>
        <v>1100 Wilson Blvd</v>
      </c>
      <c r="I142" t="str">
        <f>"Suite 1100"</f>
        <v>Suite 1100</v>
      </c>
      <c r="J142" t="str">
        <f>"Arlington"</f>
        <v>Arlington</v>
      </c>
      <c r="K142" t="str">
        <f>"VA"</f>
        <v>VA</v>
      </c>
      <c r="L142" t="str">
        <f>"22009"</f>
        <v>22009</v>
      </c>
      <c r="M142" t="str">
        <f>"SDVOSB"</f>
        <v>SDVOSB</v>
      </c>
      <c r="N142" t="str">
        <f>"https://www.trilogyfederal.com/"</f>
        <v>https://www.trilogyfederal.com/</v>
      </c>
    </row>
    <row r="143" spans="1:14" x14ac:dyDescent="0.35">
      <c r="A143" t="s">
        <v>538</v>
      </c>
      <c r="B143" t="s">
        <v>14</v>
      </c>
      <c r="C143" s="2" t="s">
        <v>539</v>
      </c>
      <c r="D143" t="str">
        <f>"VP - Public Sector"</f>
        <v>VP - Public Sector</v>
      </c>
      <c r="E143" t="s">
        <v>34</v>
      </c>
      <c r="F143" t="str">
        <f>"MetTel"</f>
        <v>MetTel</v>
      </c>
      <c r="G143" t="str">
        <f>"1-2026571977"</f>
        <v>1-2026571977</v>
      </c>
      <c r="H143" t="str">
        <f>"1090 Vermont Ave NW"</f>
        <v>1090 Vermont Ave NW</v>
      </c>
      <c r="I143" t="str">
        <f>"Suite 1100"</f>
        <v>Suite 1100</v>
      </c>
      <c r="J143" t="str">
        <f>"Washington"</f>
        <v>Washington</v>
      </c>
      <c r="K143" t="str">
        <f>"DC"</f>
        <v>DC</v>
      </c>
      <c r="L143" t="str">
        <f>"20005"</f>
        <v>20005</v>
      </c>
      <c r="M143" t="str">
        <f>"Small Business"</f>
        <v>Small Business</v>
      </c>
      <c r="N143" t="str">
        <f>"www.mettel.net"</f>
        <v>www.mettel.net</v>
      </c>
    </row>
    <row r="144" spans="1:14" x14ac:dyDescent="0.35">
      <c r="A144" t="s">
        <v>533</v>
      </c>
      <c r="B144" t="s">
        <v>532</v>
      </c>
      <c r="C144" s="2" t="s">
        <v>534</v>
      </c>
      <c r="D144" t="str">
        <f>"Senior Proposal Manager"</f>
        <v>Senior Proposal Manager</v>
      </c>
      <c r="E144" t="s">
        <v>34</v>
      </c>
      <c r="F144" t="str">
        <f>"DSS, Inc."</f>
        <v>DSS, Inc.</v>
      </c>
      <c r="G144" t="str">
        <f>"1-3215064230"</f>
        <v>1-3215064230</v>
      </c>
      <c r="H144" t="str">
        <f>"12575 US Highway One, Suite 200"</f>
        <v>12575 US Highway One, Suite 200</v>
      </c>
      <c r="I144" t="str">
        <f>"  "</f>
        <v xml:space="preserve">  </v>
      </c>
      <c r="J144" t="str">
        <f>"Juno Beach"</f>
        <v>Juno Beach</v>
      </c>
      <c r="K144" t="str">
        <f>"FL"</f>
        <v>FL</v>
      </c>
      <c r="L144" t="str">
        <f>"33408"</f>
        <v>33408</v>
      </c>
      <c r="M144" t="str">
        <f>"Large Business"</f>
        <v>Large Business</v>
      </c>
      <c r="N144" t="str">
        <f>""</f>
        <v/>
      </c>
    </row>
    <row r="145" spans="1:14" x14ac:dyDescent="0.35">
      <c r="A145" t="s">
        <v>754</v>
      </c>
      <c r="B145" t="s">
        <v>753</v>
      </c>
      <c r="C145" s="2" t="s">
        <v>755</v>
      </c>
      <c r="D145" t="str">
        <f>"Federal Healthcare Account Executive"</f>
        <v>Federal Healthcare Account Executive</v>
      </c>
      <c r="E145" t="s">
        <v>23</v>
      </c>
      <c r="F145" t="str">
        <f>"Pure Storage"</f>
        <v>Pure Storage</v>
      </c>
      <c r="G145" t="str">
        <f>"1-7039942808"</f>
        <v>1-7039942808</v>
      </c>
      <c r="H145" t="str">
        <f>"13455 Aden Rd"</f>
        <v>13455 Aden Rd</v>
      </c>
      <c r="I145" t="str">
        <f>"  "</f>
        <v xml:space="preserve">  </v>
      </c>
      <c r="J145" t="str">
        <f>"Nokesville"</f>
        <v>Nokesville</v>
      </c>
      <c r="K145" t="str">
        <f>"VA"</f>
        <v>VA</v>
      </c>
      <c r="L145" t="str">
        <f>"20181"</f>
        <v>20181</v>
      </c>
      <c r="M145" t="str">
        <f>"Large Business"</f>
        <v>Large Business</v>
      </c>
      <c r="N145" t="str">
        <f>"purestorage.com"</f>
        <v>purestorage.com</v>
      </c>
    </row>
    <row r="146" spans="1:14" x14ac:dyDescent="0.35">
      <c r="A146" t="s">
        <v>232</v>
      </c>
      <c r="B146" t="s">
        <v>231</v>
      </c>
      <c r="C146" s="2" t="s">
        <v>233</v>
      </c>
      <c r="D146" t="str">
        <f>"Contract Manager"</f>
        <v>Contract Manager</v>
      </c>
      <c r="E146" t="s">
        <v>23</v>
      </c>
      <c r="F146" t="str">
        <f>"Leidos"</f>
        <v>Leidos</v>
      </c>
      <c r="G146" t="str">
        <f>"1-9197098516"</f>
        <v>1-9197098516</v>
      </c>
      <c r="H146" t="str">
        <f>"1750 Presidents Street"</f>
        <v>1750 Presidents Street</v>
      </c>
      <c r="I146" t="str">
        <f>"  "</f>
        <v xml:space="preserve">  </v>
      </c>
      <c r="J146" t="str">
        <f>"Reston"</f>
        <v>Reston</v>
      </c>
      <c r="K146" t="str">
        <f>"VA"</f>
        <v>VA</v>
      </c>
      <c r="L146" t="str">
        <f>"20190"</f>
        <v>20190</v>
      </c>
      <c r="M146" t="str">
        <f>"Large Business"</f>
        <v>Large Business</v>
      </c>
      <c r="N146" t="str">
        <f>""</f>
        <v/>
      </c>
    </row>
    <row r="147" spans="1:14" x14ac:dyDescent="0.35">
      <c r="A147" t="s">
        <v>317</v>
      </c>
      <c r="B147" t="s">
        <v>353</v>
      </c>
      <c r="C147" s="2" t="s">
        <v>354</v>
      </c>
      <c r="D147" t="str">
        <f>"VP"</f>
        <v>VP</v>
      </c>
      <c r="E147" t="s">
        <v>23</v>
      </c>
      <c r="F147" t="str">
        <f>"Gartner"</f>
        <v>Gartner</v>
      </c>
      <c r="G147" t="str">
        <f>"1-2023687320"</f>
        <v>1-2023687320</v>
      </c>
      <c r="H147" t="str">
        <f>"1201 Wilson Ave"</f>
        <v>1201 Wilson Ave</v>
      </c>
      <c r="I147" t="str">
        <f>"  "</f>
        <v xml:space="preserve">  </v>
      </c>
      <c r="J147" t="str">
        <f>"Arlington"</f>
        <v>Arlington</v>
      </c>
      <c r="K147" t="str">
        <f>"VA"</f>
        <v>VA</v>
      </c>
      <c r="L147" t="str">
        <f>"22201"</f>
        <v>22201</v>
      </c>
      <c r="M147" t="str">
        <f>"N/A"</f>
        <v>N/A</v>
      </c>
      <c r="N147" t="str">
        <f>""</f>
        <v/>
      </c>
    </row>
    <row r="148" spans="1:14" x14ac:dyDescent="0.35">
      <c r="A148" t="s">
        <v>92</v>
      </c>
      <c r="B148" t="s">
        <v>91</v>
      </c>
      <c r="C148" s="2" t="s">
        <v>93</v>
      </c>
      <c r="D148" t="str">
        <f>"Manager"</f>
        <v>Manager</v>
      </c>
      <c r="E148" t="s">
        <v>23</v>
      </c>
      <c r="F148" t="str">
        <f>"Grant Thornton"</f>
        <v>Grant Thornton</v>
      </c>
      <c r="G148" t="str">
        <f>"1-2035301449"</f>
        <v>1-2035301449</v>
      </c>
      <c r="H148" t="str">
        <f>"1000 Wilson Blvd"</f>
        <v>1000 Wilson Blvd</v>
      </c>
      <c r="I148" t="str">
        <f>"15th Floor"</f>
        <v>15th Floor</v>
      </c>
      <c r="J148" t="str">
        <f>"Arlington"</f>
        <v>Arlington</v>
      </c>
      <c r="K148" t="str">
        <f>"VA"</f>
        <v>VA</v>
      </c>
      <c r="L148" t="str">
        <f>"22209"</f>
        <v>22209</v>
      </c>
      <c r="M148" t="str">
        <f>"Large Business"</f>
        <v>Large Business</v>
      </c>
      <c r="N148" t="str">
        <f>""</f>
        <v/>
      </c>
    </row>
    <row r="149" spans="1:14" x14ac:dyDescent="0.35">
      <c r="A149" t="s">
        <v>393</v>
      </c>
      <c r="B149" t="s">
        <v>391</v>
      </c>
      <c r="C149" s="2" t="s">
        <v>394</v>
      </c>
      <c r="D149" t="str">
        <f>"Automation Technical Specialist"</f>
        <v>Automation Technical Specialist</v>
      </c>
      <c r="E149" t="s">
        <v>23</v>
      </c>
      <c r="F149" t="str">
        <f>"IBM"</f>
        <v>IBM</v>
      </c>
      <c r="G149" t="str">
        <f>"1-817-688-0265"</f>
        <v>1-817-688-0265</v>
      </c>
      <c r="H149" t="str">
        <f>"1177 S Belt Line Rd"</f>
        <v>1177 S Belt Line Rd</v>
      </c>
      <c r="I149" t="str">
        <f>"  "</f>
        <v xml:space="preserve">  </v>
      </c>
      <c r="J149" t="str">
        <f>"Coppell"</f>
        <v>Coppell</v>
      </c>
      <c r="K149" t="str">
        <f>"TX"</f>
        <v>TX</v>
      </c>
      <c r="L149" t="str">
        <f>"75019-4642"</f>
        <v>75019-4642</v>
      </c>
      <c r="M149" t="str">
        <f>"Large Business"</f>
        <v>Large Business</v>
      </c>
      <c r="N149" t="str">
        <f>"www.ibm.com"</f>
        <v>www.ibm.com</v>
      </c>
    </row>
    <row r="150" spans="1:14" x14ac:dyDescent="0.35">
      <c r="A150" t="s">
        <v>618</v>
      </c>
      <c r="B150" t="s">
        <v>617</v>
      </c>
      <c r="C150" s="2" t="s">
        <v>619</v>
      </c>
      <c r="D150" t="str">
        <f>"Growth and Solutions Partner"</f>
        <v>Growth and Solutions Partner</v>
      </c>
      <c r="E150" s="1"/>
      <c r="F150" t="str">
        <f>"TMAX Government Solutions LLC"</f>
        <v>TMAX Government Solutions LLC</v>
      </c>
      <c r="G150" t="str">
        <f>"1-2023294953"</f>
        <v>1-2023294953</v>
      </c>
      <c r="H150" t="str">
        <f>"4217 20th Street NE"</f>
        <v>4217 20th Street NE</v>
      </c>
      <c r="I150" t="str">
        <f>"  "</f>
        <v xml:space="preserve">  </v>
      </c>
      <c r="J150" t="str">
        <f>"Washington"</f>
        <v>Washington</v>
      </c>
      <c r="K150" t="str">
        <f>"DC"</f>
        <v>DC</v>
      </c>
      <c r="L150" t="str">
        <f>"20018"</f>
        <v>20018</v>
      </c>
      <c r="M150" t="str">
        <f>"8(A)|SDVOSB"</f>
        <v>8(A)|SDVOSB</v>
      </c>
      <c r="N150" t="str">
        <f>"www.tmaxgov.com"</f>
        <v>www.tmaxgov.com</v>
      </c>
    </row>
    <row r="151" spans="1:14" x14ac:dyDescent="0.35">
      <c r="A151" t="s">
        <v>881</v>
      </c>
      <c r="B151" t="s">
        <v>39</v>
      </c>
      <c r="C151" s="2" t="s">
        <v>882</v>
      </c>
      <c r="D151" t="str">
        <f>"Director Consulting"</f>
        <v>Director Consulting</v>
      </c>
      <c r="E151" t="s">
        <v>23</v>
      </c>
      <c r="F151" t="str">
        <f>"CGI Federal"</f>
        <v>CGI Federal</v>
      </c>
      <c r="G151" t="str">
        <f>"1-5124971404"</f>
        <v>1-5124971404</v>
      </c>
      <c r="H151" t="str">
        <f>"12601 Fair Lakes"</f>
        <v>12601 Fair Lakes</v>
      </c>
      <c r="I151" t="str">
        <f>"  "</f>
        <v xml:space="preserve">  </v>
      </c>
      <c r="J151" t="str">
        <f>"Fairfax"</f>
        <v>Fairfax</v>
      </c>
      <c r="K151" t="str">
        <f>"VA"</f>
        <v>VA</v>
      </c>
      <c r="L151" t="str">
        <f>"22033"</f>
        <v>22033</v>
      </c>
      <c r="M151" t="str">
        <f>"Large Business"</f>
        <v>Large Business</v>
      </c>
      <c r="N151" t="str">
        <f>"cgifederal.com"</f>
        <v>cgifederal.com</v>
      </c>
    </row>
    <row r="152" spans="1:14" x14ac:dyDescent="0.35">
      <c r="A152" t="s">
        <v>710</v>
      </c>
      <c r="B152" t="s">
        <v>709</v>
      </c>
      <c r="C152" s="2" t="s">
        <v>711</v>
      </c>
      <c r="D152" t="str">
        <f>"AT&amp;T Client Executive Director"</f>
        <v>AT&amp;T Client Executive Director</v>
      </c>
      <c r="E152" t="s">
        <v>23</v>
      </c>
      <c r="F152" t="str">
        <f>"AT&amp;T"</f>
        <v>AT&amp;T</v>
      </c>
      <c r="G152" t="str">
        <f>"1-415-370-0718"</f>
        <v>1-415-370-0718</v>
      </c>
      <c r="H152" t="str">
        <f>"430 Bush Street"</f>
        <v>430 Bush Street</v>
      </c>
      <c r="I152" t="str">
        <f>"  "</f>
        <v xml:space="preserve">  </v>
      </c>
      <c r="J152" t="str">
        <f>"San Francisco"</f>
        <v>San Francisco</v>
      </c>
      <c r="K152" t="str">
        <f>"California"</f>
        <v>California</v>
      </c>
      <c r="L152" t="str">
        <f>"94108"</f>
        <v>94108</v>
      </c>
      <c r="M152" t="str">
        <f>"Large Business"</f>
        <v>Large Business</v>
      </c>
      <c r="N152" t="str">
        <f>"www.att.com"</f>
        <v>www.att.com</v>
      </c>
    </row>
    <row r="153" spans="1:14" x14ac:dyDescent="0.35">
      <c r="A153" t="s">
        <v>138</v>
      </c>
      <c r="B153" t="s">
        <v>137</v>
      </c>
      <c r="C153" s="2" t="s">
        <v>139</v>
      </c>
      <c r="D153" t="str">
        <f>"Manager"</f>
        <v>Manager</v>
      </c>
      <c r="E153" t="s">
        <v>23</v>
      </c>
      <c r="F153" t="str">
        <f>"Grant Thornton Public Sector"</f>
        <v>Grant Thornton Public Sector</v>
      </c>
      <c r="G153" t="str">
        <f>"1-7032981936"</f>
        <v>1-7032981936</v>
      </c>
      <c r="H153" t="str">
        <f>"1000 Wilson Blvd #1400"</f>
        <v>1000 Wilson Blvd #1400</v>
      </c>
      <c r="I153" t="str">
        <f>"  "</f>
        <v xml:space="preserve">  </v>
      </c>
      <c r="J153" t="str">
        <f>"Arlington"</f>
        <v>Arlington</v>
      </c>
      <c r="K153" t="str">
        <f>"Virginia"</f>
        <v>Virginia</v>
      </c>
      <c r="L153" t="str">
        <f>"22209"</f>
        <v>22209</v>
      </c>
      <c r="M153" t="str">
        <f>"Large Business"</f>
        <v>Large Business</v>
      </c>
      <c r="N153" t="str">
        <f>"https://www.grantthornton.com/services/advisory-services/public-sector.aspx"</f>
        <v>https://www.grantthornton.com/services/advisory-services/public-sector.aspx</v>
      </c>
    </row>
    <row r="154" spans="1:14" x14ac:dyDescent="0.35">
      <c r="A154" t="s">
        <v>592</v>
      </c>
      <c r="B154" t="s">
        <v>188</v>
      </c>
      <c r="C154" s="2" t="s">
        <v>593</v>
      </c>
      <c r="D154" t="str">
        <f>"Federal AE"</f>
        <v>Federal AE</v>
      </c>
      <c r="E154" t="s">
        <v>23</v>
      </c>
      <c r="F154" t="str">
        <f>"Datadog"</f>
        <v>Datadog</v>
      </c>
      <c r="G154" t="str">
        <f>"1-7038356856"</f>
        <v>1-7038356856</v>
      </c>
      <c r="H154" t="str">
        <f>"620 8th Ave 45th Floor"</f>
        <v>620 8th Ave 45th Floor</v>
      </c>
      <c r="I154" t="str">
        <f>"  "</f>
        <v xml:space="preserve">  </v>
      </c>
      <c r="J154" t="str">
        <f>"New York"</f>
        <v>New York</v>
      </c>
      <c r="K154" t="str">
        <f>"NY"</f>
        <v>NY</v>
      </c>
      <c r="L154" t="str">
        <f>"10018"</f>
        <v>10018</v>
      </c>
      <c r="M154" t="str">
        <f>"Large Business"</f>
        <v>Large Business</v>
      </c>
      <c r="N154" t="str">
        <f>"https://www.datadoghq.com/"</f>
        <v>https://www.datadoghq.com/</v>
      </c>
    </row>
    <row r="155" spans="1:14" x14ac:dyDescent="0.35">
      <c r="A155" t="s">
        <v>98</v>
      </c>
      <c r="B155" t="s">
        <v>97</v>
      </c>
      <c r="C155" s="2" t="s">
        <v>99</v>
      </c>
      <c r="D155" t="str">
        <f>"Director"</f>
        <v>Director</v>
      </c>
      <c r="E155" t="s">
        <v>22</v>
      </c>
      <c r="F155" t="str">
        <f>"Merlin Cyber"</f>
        <v>Merlin Cyber</v>
      </c>
      <c r="G155" t="str">
        <f>"1-2026043527"</f>
        <v>1-2026043527</v>
      </c>
      <c r="H155" t="str">
        <f>"8830 Boone Blvd"</f>
        <v>8830 Boone Blvd</v>
      </c>
      <c r="I155" t="str">
        <f>"800"</f>
        <v>800</v>
      </c>
      <c r="J155" t="str">
        <f>"Vienna"</f>
        <v>Vienna</v>
      </c>
      <c r="K155" t="str">
        <f>"VA"</f>
        <v>VA</v>
      </c>
      <c r="L155" t="str">
        <f>"22182"</f>
        <v>22182</v>
      </c>
      <c r="M155" t="str">
        <f>"Small Business"</f>
        <v>Small Business</v>
      </c>
      <c r="N155" t="str">
        <f>"www.merlincyber.com"</f>
        <v>www.merlincyber.com</v>
      </c>
    </row>
    <row r="156" spans="1:14" x14ac:dyDescent="0.35">
      <c r="A156" t="s">
        <v>95</v>
      </c>
      <c r="B156" t="s">
        <v>94</v>
      </c>
      <c r="C156" s="2" t="s">
        <v>96</v>
      </c>
      <c r="D156" t="str">
        <f>"VP Digital Solutions &amp; Consulting"</f>
        <v>VP Digital Solutions &amp; Consulting</v>
      </c>
      <c r="E156" t="s">
        <v>22</v>
      </c>
      <c r="F156" t="str">
        <f>"Sierra7"</f>
        <v>Sierra7</v>
      </c>
      <c r="G156" t="str">
        <f>"1-2146747528"</f>
        <v>1-2146747528</v>
      </c>
      <c r="H156" t="str">
        <f>"3190 Fairview Park Drive, Suite 350"</f>
        <v>3190 Fairview Park Drive, Suite 350</v>
      </c>
      <c r="I156" t="str">
        <f>"  "</f>
        <v xml:space="preserve">  </v>
      </c>
      <c r="J156" t="str">
        <f>"Falls Church"</f>
        <v>Falls Church</v>
      </c>
      <c r="K156" t="str">
        <f>"VA"</f>
        <v>VA</v>
      </c>
      <c r="L156" t="str">
        <f>"22042"</f>
        <v>22042</v>
      </c>
      <c r="M156" t="str">
        <f>"SDVOSB"</f>
        <v>SDVOSB</v>
      </c>
      <c r="N156" t="str">
        <f>"www.sierra7.com"</f>
        <v>www.sierra7.com</v>
      </c>
    </row>
    <row r="157" spans="1:14" x14ac:dyDescent="0.35">
      <c r="A157" t="s">
        <v>858</v>
      </c>
      <c r="B157" t="s">
        <v>38</v>
      </c>
      <c r="C157" s="2" t="s">
        <v>859</v>
      </c>
      <c r="D157" t="str">
        <f>"Systems Engineer"</f>
        <v>Systems Engineer</v>
      </c>
      <c r="E157" t="s">
        <v>23</v>
      </c>
      <c r="F157" t="str">
        <f>"Pure Storage"</f>
        <v>Pure Storage</v>
      </c>
      <c r="G157" t="str">
        <f>"1-8109082620"</f>
        <v>1-8109082620</v>
      </c>
      <c r="H157" t="str">
        <f>"650 Castro St #400"</f>
        <v>650 Castro St #400</v>
      </c>
      <c r="I157" t="str">
        <f>"  "</f>
        <v xml:space="preserve">  </v>
      </c>
      <c r="J157" t="str">
        <f>"Mountain View"</f>
        <v>Mountain View</v>
      </c>
      <c r="K157" t="str">
        <f>"California"</f>
        <v>California</v>
      </c>
      <c r="L157" t="str">
        <f>"94041"</f>
        <v>94041</v>
      </c>
      <c r="M157" t="str">
        <f>"Large Business"</f>
        <v>Large Business</v>
      </c>
      <c r="N157" t="str">
        <f>"www.purestorage.com"</f>
        <v>www.purestorage.com</v>
      </c>
    </row>
    <row r="158" spans="1:14" x14ac:dyDescent="0.35">
      <c r="A158" t="s">
        <v>705</v>
      </c>
      <c r="B158" t="s">
        <v>704</v>
      </c>
      <c r="C158" s="2" t="s">
        <v>706</v>
      </c>
      <c r="D158" t="str">
        <f>"Sr Director of Proposals"</f>
        <v>Sr Director of Proposals</v>
      </c>
      <c r="E158" s="1"/>
      <c r="F158" t="str">
        <f>"Maveris"</f>
        <v>Maveris</v>
      </c>
      <c r="G158" t="str">
        <f>"1-3013053201"</f>
        <v>1-3013053201</v>
      </c>
      <c r="H158" t="str">
        <f>"589 Steele Loop"</f>
        <v>589 Steele Loop</v>
      </c>
      <c r="I158" t="str">
        <f>"  "</f>
        <v xml:space="preserve">  </v>
      </c>
      <c r="J158" t="str">
        <f>"Wilmington"</f>
        <v>Wilmington</v>
      </c>
      <c r="K158" t="str">
        <f>"NC"</f>
        <v>NC</v>
      </c>
      <c r="L158" t="str">
        <f>"28411"</f>
        <v>28411</v>
      </c>
      <c r="M158" t="str">
        <f>"SDVOSB|VOSB"</f>
        <v>SDVOSB|VOSB</v>
      </c>
      <c r="N158" t="str">
        <f>""</f>
        <v/>
      </c>
    </row>
    <row r="159" spans="1:14" x14ac:dyDescent="0.35">
      <c r="A159" t="s">
        <v>705</v>
      </c>
      <c r="B159" t="s">
        <v>103</v>
      </c>
      <c r="C159" s="2" t="s">
        <v>860</v>
      </c>
      <c r="D159" t="str">
        <f>"Senior Solutions Engineer"</f>
        <v>Senior Solutions Engineer</v>
      </c>
      <c r="E159" t="s">
        <v>23</v>
      </c>
      <c r="F159" t="str">
        <f>"Akamai"</f>
        <v>Akamai</v>
      </c>
      <c r="G159" t="str">
        <f>"1-7037749880"</f>
        <v>1-7037749880</v>
      </c>
      <c r="H159" t="str">
        <f>"11111 Sunset Hills Dr"</f>
        <v>11111 Sunset Hills Dr</v>
      </c>
      <c r="I159" t="str">
        <f>"  "</f>
        <v xml:space="preserve">  </v>
      </c>
      <c r="J159" t="str">
        <f>"Reston"</f>
        <v>Reston</v>
      </c>
      <c r="K159" t="str">
        <f>"VA"</f>
        <v>VA</v>
      </c>
      <c r="L159" t="str">
        <f>"20191"</f>
        <v>20191</v>
      </c>
      <c r="M159" t="str">
        <f>"N/A"</f>
        <v>N/A</v>
      </c>
      <c r="N159" t="str">
        <f>""</f>
        <v/>
      </c>
    </row>
    <row r="160" spans="1:14" x14ac:dyDescent="0.35">
      <c r="A160" t="s">
        <v>952</v>
      </c>
      <c r="B160" t="s">
        <v>106</v>
      </c>
      <c r="C160" s="2" t="s">
        <v>953</v>
      </c>
      <c r="D160" t="str">
        <f>"Sr Solutions Engineer"</f>
        <v>Sr Solutions Engineer</v>
      </c>
      <c r="E160" t="s">
        <v>23</v>
      </c>
      <c r="F160" t="str">
        <f>"VMware Inc"</f>
        <v>VMware Inc</v>
      </c>
      <c r="G160" t="str">
        <f>"1-9102248153"</f>
        <v>1-9102248153</v>
      </c>
      <c r="H160" t="str">
        <f>"3401 Hillview Avenue"</f>
        <v>3401 Hillview Avenue</v>
      </c>
      <c r="I160" t="str">
        <f>"  "</f>
        <v xml:space="preserve">  </v>
      </c>
      <c r="J160" t="str">
        <f>"Palo Alto"</f>
        <v>Palo Alto</v>
      </c>
      <c r="K160" t="str">
        <f>"CA"</f>
        <v>CA</v>
      </c>
      <c r="L160" t="str">
        <f>"94304"</f>
        <v>94304</v>
      </c>
      <c r="M160" t="str">
        <f>"Large Business"</f>
        <v>Large Business</v>
      </c>
      <c r="N160" t="str">
        <f>"www.vmware.com"</f>
        <v>www.vmware.com</v>
      </c>
    </row>
    <row r="161" spans="1:14" x14ac:dyDescent="0.35">
      <c r="A161" t="s">
        <v>975</v>
      </c>
      <c r="B161" t="s">
        <v>225</v>
      </c>
      <c r="C161" s="2" t="s">
        <v>976</v>
      </c>
      <c r="D161" t="str">
        <f>"VP of Strategy &amp; Growth"</f>
        <v>VP of Strategy &amp; Growth</v>
      </c>
      <c r="E161" t="s">
        <v>22</v>
      </c>
      <c r="F161" t="str">
        <f>"Sierra 7"</f>
        <v>Sierra 7</v>
      </c>
      <c r="G161" t="str">
        <f>"1-4109801370"</f>
        <v>1-4109801370</v>
      </c>
      <c r="H161" t="str">
        <f>"3190 Fairview Park South"</f>
        <v>3190 Fairview Park South</v>
      </c>
      <c r="I161" t="str">
        <f>"Suite 350"</f>
        <v>Suite 350</v>
      </c>
      <c r="J161" t="str">
        <f>"Falls Church"</f>
        <v>Falls Church</v>
      </c>
      <c r="K161" t="str">
        <f>"Virginia"</f>
        <v>Virginia</v>
      </c>
      <c r="L161" t="str">
        <f>"22042"</f>
        <v>22042</v>
      </c>
      <c r="M161" t="str">
        <f>"SDVOSB|VOSB|Small Business|Small Disadvantaged Business"</f>
        <v>SDVOSB|VOSB|Small Business|Small Disadvantaged Business</v>
      </c>
      <c r="N161" t="str">
        <f>"www.sierra7.com"</f>
        <v>www.sierra7.com</v>
      </c>
    </row>
    <row r="162" spans="1:14" x14ac:dyDescent="0.35">
      <c r="A162" t="s">
        <v>1091</v>
      </c>
      <c r="B162" t="s">
        <v>38</v>
      </c>
      <c r="C162" s="2" t="s">
        <v>1092</v>
      </c>
      <c r="D162" t="str">
        <f>"Sr. BD Manager"</f>
        <v>Sr. BD Manager</v>
      </c>
      <c r="E162" s="1"/>
      <c r="F162" t="str">
        <f>"Best Value Technology Inc"</f>
        <v>Best Value Technology Inc</v>
      </c>
      <c r="G162" t="str">
        <f>"1-7033029153"</f>
        <v>1-7033029153</v>
      </c>
      <c r="H162" t="str">
        <f>"5501 Merchants View Square, Box 738"</f>
        <v>5501 Merchants View Square, Box 738</v>
      </c>
      <c r="I162" t="str">
        <f>"  "</f>
        <v xml:space="preserve">  </v>
      </c>
      <c r="J162" t="str">
        <f>"Haymarket"</f>
        <v>Haymarket</v>
      </c>
      <c r="K162" t="str">
        <f>"VA"</f>
        <v>VA</v>
      </c>
      <c r="L162" t="str">
        <f>"20169"</f>
        <v>20169</v>
      </c>
      <c r="M162" t="str">
        <f>"SDVOSB|VOSB|Small Business"</f>
        <v>SDVOSB|VOSB|Small Business</v>
      </c>
      <c r="N162" t="str">
        <f>"www.bvti.com"</f>
        <v>www.bvti.com</v>
      </c>
    </row>
    <row r="163" spans="1:14" x14ac:dyDescent="0.35">
      <c r="A163" t="s">
        <v>563</v>
      </c>
      <c r="B163" t="s">
        <v>562</v>
      </c>
      <c r="C163" s="2" t="s">
        <v>564</v>
      </c>
      <c r="D163" t="str">
        <f>"Owner"</f>
        <v>Owner</v>
      </c>
      <c r="E163" s="1"/>
      <c r="F163" t="str">
        <f>"Camouflaged Sisters LLC"</f>
        <v>Camouflaged Sisters LLC</v>
      </c>
      <c r="G163" t="str">
        <f>"1-18453920552"</f>
        <v>1-18453920552</v>
      </c>
      <c r="H163" t="str">
        <f>"1505 Prestige Loop"</f>
        <v>1505 Prestige Loop</v>
      </c>
      <c r="I163" t="str">
        <f>"  "</f>
        <v xml:space="preserve">  </v>
      </c>
      <c r="J163" t="str">
        <f>"Killeen"</f>
        <v>Killeen</v>
      </c>
      <c r="K163" t="str">
        <f>"Texas"</f>
        <v>Texas</v>
      </c>
      <c r="L163" t="str">
        <f>"76549-1161"</f>
        <v>76549-1161</v>
      </c>
      <c r="M163" t="str">
        <f>"SDVOSB|VOSB|WOSB|Small Disadvantaged Business"</f>
        <v>SDVOSB|VOSB|WOSB|Small Disadvantaged Business</v>
      </c>
      <c r="N163" t="str">
        <f>"camouflagedsisters.org "</f>
        <v xml:space="preserve">camouflagedsisters.org </v>
      </c>
    </row>
    <row r="164" spans="1:14" x14ac:dyDescent="0.35">
      <c r="A164" t="s">
        <v>493</v>
      </c>
      <c r="B164" t="s">
        <v>116</v>
      </c>
      <c r="C164" s="2" t="s">
        <v>494</v>
      </c>
      <c r="D164" t="str">
        <f>"Z Software Brand Representative"</f>
        <v>Z Software Brand Representative</v>
      </c>
      <c r="E164" t="s">
        <v>23</v>
      </c>
      <c r="F164" t="str">
        <f>"IBM"</f>
        <v>IBM</v>
      </c>
      <c r="G164" t="str">
        <f>"1-3015255761"</f>
        <v>1-3015255761</v>
      </c>
      <c r="H164" t="str">
        <f>"6710 Rockledge Dr"</f>
        <v>6710 Rockledge Dr</v>
      </c>
      <c r="I164" t="str">
        <f>"  "</f>
        <v xml:space="preserve">  </v>
      </c>
      <c r="J164" t="str">
        <f>"Bethesda"</f>
        <v>Bethesda</v>
      </c>
      <c r="K164" t="str">
        <f>"Maryland"</f>
        <v>Maryland</v>
      </c>
      <c r="L164" t="str">
        <f>"20817"</f>
        <v>20817</v>
      </c>
      <c r="M164" t="str">
        <f>"Large Business"</f>
        <v>Large Business</v>
      </c>
      <c r="N164" t="str">
        <f>""</f>
        <v/>
      </c>
    </row>
    <row r="165" spans="1:14" x14ac:dyDescent="0.35">
      <c r="A165" t="s">
        <v>368</v>
      </c>
      <c r="B165" t="s">
        <v>367</v>
      </c>
      <c r="C165" s="2" t="s">
        <v>369</v>
      </c>
      <c r="D165" t="str">
        <f>"Account Director"</f>
        <v>Account Director</v>
      </c>
      <c r="E165" s="1"/>
      <c r="F165" t="str">
        <f>"TISTA"</f>
        <v>TISTA</v>
      </c>
      <c r="G165" t="str">
        <f>"1-7574387722"</f>
        <v>1-7574387722</v>
      </c>
      <c r="H165" t="str">
        <f>"1201 Seven Locks Rd"</f>
        <v>1201 Seven Locks Rd</v>
      </c>
      <c r="I165" t="str">
        <f>"  "</f>
        <v xml:space="preserve">  </v>
      </c>
      <c r="J165" t="str">
        <f>"Rockville"</f>
        <v>Rockville</v>
      </c>
      <c r="K165" t="str">
        <f>"MD"</f>
        <v>MD</v>
      </c>
      <c r="L165" t="str">
        <f>"20854"</f>
        <v>20854</v>
      </c>
      <c r="M165" t="str">
        <f>"Large Business"</f>
        <v>Large Business</v>
      </c>
      <c r="N165" t="str">
        <f>""</f>
        <v/>
      </c>
    </row>
    <row r="166" spans="1:14" x14ac:dyDescent="0.35">
      <c r="A166" t="s">
        <v>925</v>
      </c>
      <c r="B166" t="s">
        <v>924</v>
      </c>
      <c r="C166" s="2" t="s">
        <v>926</v>
      </c>
      <c r="D166" t="str">
        <f>"PRESIDENT"</f>
        <v>PRESIDENT</v>
      </c>
      <c r="E166" s="1"/>
      <c r="F166" t="str">
        <f>"Hoover Enterprises, Inc."</f>
        <v>Hoover Enterprises, Inc.</v>
      </c>
      <c r="G166" t="str">
        <f>"1-8054432765"</f>
        <v>1-8054432765</v>
      </c>
      <c r="H166" t="str">
        <f>"1650 E. Gonzales Rd., #123"</f>
        <v>1650 E. Gonzales Rd., #123</v>
      </c>
      <c r="I166" t="str">
        <f>"  "</f>
        <v xml:space="preserve">  </v>
      </c>
      <c r="J166" t="str">
        <f>"Oxnard"</f>
        <v>Oxnard</v>
      </c>
      <c r="K166" t="str">
        <f>"CA"</f>
        <v>CA</v>
      </c>
      <c r="L166" t="str">
        <f>"93036"</f>
        <v>93036</v>
      </c>
      <c r="M166" t="str">
        <f>"SDVOSB|VOSB|Small Business"</f>
        <v>SDVOSB|VOSB|Small Business</v>
      </c>
      <c r="N166" t="str">
        <f>"www.hooverenterprises.com"</f>
        <v>www.hooverenterprises.com</v>
      </c>
    </row>
    <row r="167" spans="1:14" x14ac:dyDescent="0.35">
      <c r="A167" t="s">
        <v>424</v>
      </c>
      <c r="B167" t="s">
        <v>423</v>
      </c>
      <c r="C167" s="2" t="s">
        <v>425</v>
      </c>
      <c r="D167" t="str">
        <f>"AE"</f>
        <v>AE</v>
      </c>
      <c r="E167" s="1"/>
      <c r="F167" t="str">
        <f>"VMware"</f>
        <v>VMware</v>
      </c>
      <c r="G167" t="str">
        <f>"1-7036292185"</f>
        <v>1-7036292185</v>
      </c>
      <c r="H167" t="str">
        <f>"9905 TIMMARK CT"</f>
        <v>9905 TIMMARK CT</v>
      </c>
      <c r="I167" t="str">
        <f>"  "</f>
        <v xml:space="preserve">  </v>
      </c>
      <c r="J167" t="str">
        <f>"VIENNA"</f>
        <v>VIENNA</v>
      </c>
      <c r="K167" t="str">
        <f>"VA"</f>
        <v>VA</v>
      </c>
      <c r="L167" t="str">
        <f>"22181-5370"</f>
        <v>22181-5370</v>
      </c>
      <c r="M167" t="str">
        <f>"Large Business"</f>
        <v>Large Business</v>
      </c>
      <c r="N167" t="str">
        <f>""</f>
        <v/>
      </c>
    </row>
    <row r="168" spans="1:14" x14ac:dyDescent="0.35">
      <c r="A168" t="s">
        <v>36</v>
      </c>
      <c r="B168" t="s">
        <v>35</v>
      </c>
      <c r="C168" s="2" t="s">
        <v>37</v>
      </c>
      <c r="D168" t="str">
        <f>"Technical Writer"</f>
        <v>Technical Writer</v>
      </c>
      <c r="E168" s="1"/>
      <c r="F168" t="str">
        <f>"Def-Logix"</f>
        <v>Def-Logix</v>
      </c>
      <c r="G168" t="str">
        <f>"1-2108007303"</f>
        <v>1-2108007303</v>
      </c>
      <c r="H168" t="str">
        <f>"3463 Magic Drive, Suite 220"</f>
        <v>3463 Magic Drive, Suite 220</v>
      </c>
      <c r="I168" t="str">
        <f>"  "</f>
        <v xml:space="preserve">  </v>
      </c>
      <c r="J168" t="str">
        <f>"San Antonio"</f>
        <v>San Antonio</v>
      </c>
      <c r="K168" t="str">
        <f>"TX"</f>
        <v>TX</v>
      </c>
      <c r="L168" t="str">
        <f>"78229"</f>
        <v>78229</v>
      </c>
      <c r="M168" t="str">
        <f>"8(A)|VOSB|Small Business"</f>
        <v>8(A)|VOSB|Small Business</v>
      </c>
      <c r="N168" t="str">
        <f>"www.def-logix.com"</f>
        <v>www.def-logix.com</v>
      </c>
    </row>
    <row r="169" spans="1:14" x14ac:dyDescent="0.35">
      <c r="A169" t="s">
        <v>36</v>
      </c>
      <c r="B169" t="s">
        <v>35</v>
      </c>
      <c r="C169" s="2" t="s">
        <v>724</v>
      </c>
      <c r="D169" t="str">
        <f>"Technical Writer"</f>
        <v>Technical Writer</v>
      </c>
      <c r="E169" s="1"/>
      <c r="F169" t="str">
        <f>"Def-Logix"</f>
        <v>Def-Logix</v>
      </c>
      <c r="G169" t="str">
        <f>"1-2108007303"</f>
        <v>1-2108007303</v>
      </c>
      <c r="H169" t="str">
        <f>"3601 Magic Drive, Apt.603"</f>
        <v>3601 Magic Drive, Apt.603</v>
      </c>
      <c r="I169" t="str">
        <f>"  "</f>
        <v xml:space="preserve">  </v>
      </c>
      <c r="J169" t="str">
        <f>"San Antonio"</f>
        <v>San Antonio</v>
      </c>
      <c r="K169" t="str">
        <f>"TX"</f>
        <v>TX</v>
      </c>
      <c r="L169" t="str">
        <f>"78229"</f>
        <v>78229</v>
      </c>
      <c r="M169" t="str">
        <f>"8(A)|VOSB|Small Business"</f>
        <v>8(A)|VOSB|Small Business</v>
      </c>
      <c r="N169" t="str">
        <f>"www.def-logix.com"</f>
        <v>www.def-logix.com</v>
      </c>
    </row>
    <row r="170" spans="1:14" x14ac:dyDescent="0.35">
      <c r="A170" t="s">
        <v>759</v>
      </c>
      <c r="B170" t="s">
        <v>712</v>
      </c>
      <c r="C170" s="2" t="s">
        <v>760</v>
      </c>
      <c r="D170" t="str">
        <f>"Chief Technology Officer"</f>
        <v>Chief Technology Officer</v>
      </c>
      <c r="E170" t="s">
        <v>22</v>
      </c>
      <c r="F170" t="str">
        <f>"PingWind"</f>
        <v>PingWind</v>
      </c>
      <c r="G170" t="str">
        <f>"1-703.642.2446"</f>
        <v>1-703.642.2446</v>
      </c>
      <c r="H170" t="str">
        <f>"7630 Little River Turnpike Ste 250"</f>
        <v>7630 Little River Turnpike Ste 250</v>
      </c>
      <c r="I170" t="str">
        <f>"  "</f>
        <v xml:space="preserve">  </v>
      </c>
      <c r="J170" t="str">
        <f>"Annandale"</f>
        <v>Annandale</v>
      </c>
      <c r="K170" t="str">
        <f>"Virginia"</f>
        <v>Virginia</v>
      </c>
      <c r="L170" t="str">
        <f>"22003"</f>
        <v>22003</v>
      </c>
      <c r="M170" t="str">
        <f>"SDVOSB|HUBZone|Small Business|Small Disadvantaged Business"</f>
        <v>SDVOSB|HUBZone|Small Business|Small Disadvantaged Business</v>
      </c>
      <c r="N170" t="str">
        <f>"pingwind.com"</f>
        <v>pingwind.com</v>
      </c>
    </row>
    <row r="171" spans="1:14" x14ac:dyDescent="0.35">
      <c r="A171" t="s">
        <v>965</v>
      </c>
      <c r="B171" t="s">
        <v>451</v>
      </c>
      <c r="C171" s="2" t="s">
        <v>966</v>
      </c>
      <c r="D171" t="str">
        <f>"Chief Growth Officer"</f>
        <v>Chief Growth Officer</v>
      </c>
      <c r="E171" s="1"/>
      <c r="F171" t="str">
        <f>"Maveris"</f>
        <v>Maveris</v>
      </c>
      <c r="G171" t="str">
        <f>"1-8044678663"</f>
        <v>1-8044678663</v>
      </c>
      <c r="H171" t="str">
        <f>"126 E Burke Street"</f>
        <v>126 E Burke Street</v>
      </c>
      <c r="I171" t="str">
        <f>"  "</f>
        <v xml:space="preserve">  </v>
      </c>
      <c r="J171" t="str">
        <f>"Martinsburg"</f>
        <v>Martinsburg</v>
      </c>
      <c r="K171" t="str">
        <f>"VA"</f>
        <v>VA</v>
      </c>
      <c r="L171" t="str">
        <f>"25401"</f>
        <v>25401</v>
      </c>
      <c r="M171" t="str">
        <f>"SDVOSB"</f>
        <v>SDVOSB</v>
      </c>
      <c r="N171" t="str">
        <f>"maveris.com"</f>
        <v>maveris.com</v>
      </c>
    </row>
    <row r="172" spans="1:14" x14ac:dyDescent="0.35">
      <c r="A172" t="s">
        <v>25</v>
      </c>
      <c r="B172" t="s">
        <v>24</v>
      </c>
      <c r="C172" s="2" t="s">
        <v>26</v>
      </c>
      <c r="D172" t="str">
        <f>"Comms Specialist"</f>
        <v>Comms Specialist</v>
      </c>
      <c r="E172" s="1"/>
      <c r="F172" t="str">
        <f>"n/a"</f>
        <v>n/a</v>
      </c>
      <c r="G172" t="str">
        <f>"1-555-5555"</f>
        <v>1-555-5555</v>
      </c>
      <c r="H172" t="str">
        <f>"n/a"</f>
        <v>n/a</v>
      </c>
      <c r="I172" t="str">
        <f>"  "</f>
        <v xml:space="preserve">  </v>
      </c>
      <c r="J172" t="str">
        <f>"n/a"</f>
        <v>n/a</v>
      </c>
      <c r="K172" t="str">
        <f>"n/a"</f>
        <v>n/a</v>
      </c>
      <c r="L172" t="str">
        <f>"n/a"</f>
        <v>n/a</v>
      </c>
      <c r="M172" t="str">
        <f>"N/A"</f>
        <v>N/A</v>
      </c>
      <c r="N172" t="str">
        <f>""</f>
        <v/>
      </c>
    </row>
    <row r="173" spans="1:14" x14ac:dyDescent="0.35">
      <c r="A173" t="s">
        <v>783</v>
      </c>
      <c r="B173" t="s">
        <v>730</v>
      </c>
      <c r="C173" s="2" t="s">
        <v>834</v>
      </c>
      <c r="D173" t="str">
        <f>"Account Executive"</f>
        <v>Account Executive</v>
      </c>
      <c r="E173" t="s">
        <v>22</v>
      </c>
      <c r="F173" t="str">
        <f>"Pega"</f>
        <v>Pega</v>
      </c>
      <c r="G173" t="str">
        <f>"1-8054691050"</f>
        <v>1-8054691050</v>
      </c>
      <c r="H173" t="str">
        <f>"8201 Woodhaven Blvd"</f>
        <v>8201 Woodhaven Blvd</v>
      </c>
      <c r="I173" t="str">
        <f>"  "</f>
        <v xml:space="preserve">  </v>
      </c>
      <c r="J173" t="str">
        <f>"Bethesda"</f>
        <v>Bethesda</v>
      </c>
      <c r="K173" t="str">
        <f>"MD"</f>
        <v>MD</v>
      </c>
      <c r="L173" t="str">
        <f>"20817"</f>
        <v>20817</v>
      </c>
      <c r="M173" t="str">
        <f>"Large Business"</f>
        <v>Large Business</v>
      </c>
      <c r="N173" t="str">
        <f>""</f>
        <v/>
      </c>
    </row>
    <row r="174" spans="1:14" x14ac:dyDescent="0.35">
      <c r="A174" t="s">
        <v>527</v>
      </c>
      <c r="B174" t="s">
        <v>526</v>
      </c>
      <c r="C174" s="2" t="s">
        <v>528</v>
      </c>
      <c r="D174" t="str">
        <f>"Enterprise Account Manager"</f>
        <v>Enterprise Account Manager</v>
      </c>
      <c r="E174" t="s">
        <v>23</v>
      </c>
      <c r="F174" t="str">
        <f>"Hewlett Packard Enterprise"</f>
        <v>Hewlett Packard Enterprise</v>
      </c>
      <c r="G174" t="str">
        <f>"1-2023861482"</f>
        <v>1-2023861482</v>
      </c>
      <c r="H174" t="str">
        <f>"12010 Sunset Hills Road"</f>
        <v>12010 Sunset Hills Road</v>
      </c>
      <c r="I174" t="str">
        <f>"3rd Floor"</f>
        <v>3rd Floor</v>
      </c>
      <c r="J174" t="str">
        <f>"Reston"</f>
        <v>Reston</v>
      </c>
      <c r="K174" t="str">
        <f>"VA"</f>
        <v>VA</v>
      </c>
      <c r="L174" t="str">
        <f>"20190"</f>
        <v>20190</v>
      </c>
      <c r="M174" t="str">
        <f>"Large Business"</f>
        <v>Large Business</v>
      </c>
      <c r="N174" t="str">
        <f>"HPE.com"</f>
        <v>HPE.com</v>
      </c>
    </row>
    <row r="175" spans="1:14" x14ac:dyDescent="0.35">
      <c r="A175" t="s">
        <v>141</v>
      </c>
      <c r="B175" t="s">
        <v>502</v>
      </c>
      <c r="C175" s="2" t="s">
        <v>503</v>
      </c>
      <c r="D175" t="str">
        <f>"Federal Account Executive"</f>
        <v>Federal Account Executive</v>
      </c>
      <c r="E175" t="s">
        <v>23</v>
      </c>
      <c r="F175" t="str">
        <f>"Snowflake"</f>
        <v>Snowflake</v>
      </c>
      <c r="G175" t="str">
        <f>"1-5713957146"</f>
        <v>1-5713957146</v>
      </c>
      <c r="H175" t="str">
        <f>"8350 Broad Street"</f>
        <v>8350 Broad Street</v>
      </c>
      <c r="I175" t="str">
        <f>"  "</f>
        <v xml:space="preserve">  </v>
      </c>
      <c r="J175" t="str">
        <f>"McLean"</f>
        <v>McLean</v>
      </c>
      <c r="K175" t="str">
        <f>"Virginia"</f>
        <v>Virginia</v>
      </c>
      <c r="L175" t="str">
        <f>"22102"</f>
        <v>22102</v>
      </c>
      <c r="M175" t="str">
        <f>"Large Business"</f>
        <v>Large Business</v>
      </c>
      <c r="N175" t="str">
        <f>"https://www.snowflake.com/public-sector/"</f>
        <v>https://www.snowflake.com/public-sector/</v>
      </c>
    </row>
    <row r="176" spans="1:14" x14ac:dyDescent="0.35">
      <c r="A176" t="s">
        <v>141</v>
      </c>
      <c r="B176" t="s">
        <v>188</v>
      </c>
      <c r="C176" s="2" t="s">
        <v>189</v>
      </c>
      <c r="D176" t="str">
        <f>"Solutions Architect"</f>
        <v>Solutions Architect</v>
      </c>
      <c r="E176" t="s">
        <v>22</v>
      </c>
      <c r="F176" t="str">
        <f>"Aptive"</f>
        <v>Aptive</v>
      </c>
      <c r="G176" t="str">
        <f>"1-5125225129"</f>
        <v>1-5125225129</v>
      </c>
      <c r="H176" t="str">
        <f>"110 North Royal Street"</f>
        <v>110 North Royal Street</v>
      </c>
      <c r="I176" t="str">
        <f>"Suite 400"</f>
        <v>Suite 400</v>
      </c>
      <c r="J176" t="str">
        <f>"Alexandria"</f>
        <v>Alexandria</v>
      </c>
      <c r="K176" t="str">
        <f>"VA"</f>
        <v>VA</v>
      </c>
      <c r="L176" t="str">
        <f>"22314"</f>
        <v>22314</v>
      </c>
      <c r="M176" t="str">
        <f>"SDVOSB|WOSB"</f>
        <v>SDVOSB|WOSB</v>
      </c>
      <c r="N176" t="str">
        <f>"https://www.aptiveresources.com/"</f>
        <v>https://www.aptiveresources.com/</v>
      </c>
    </row>
    <row r="177" spans="1:14" x14ac:dyDescent="0.35">
      <c r="A177" t="s">
        <v>141</v>
      </c>
      <c r="B177" t="s">
        <v>140</v>
      </c>
      <c r="C177" s="2" t="s">
        <v>142</v>
      </c>
      <c r="D177" t="str">
        <f>"Senior Solution Architect"</f>
        <v>Senior Solution Architect</v>
      </c>
      <c r="E177" t="s">
        <v>23</v>
      </c>
      <c r="F177" t="str">
        <f>"Red Hat"</f>
        <v>Red Hat</v>
      </c>
      <c r="G177" t="str">
        <f>"1-5126893364"</f>
        <v>1-5126893364</v>
      </c>
      <c r="H177" t="str">
        <f>"1600 International Drive"</f>
        <v>1600 International Drive</v>
      </c>
      <c r="I177" t="str">
        <f>"8th Floor"</f>
        <v>8th Floor</v>
      </c>
      <c r="J177" t="str">
        <f>"McLean"</f>
        <v>McLean</v>
      </c>
      <c r="K177" t="str">
        <f>"VA"</f>
        <v>VA</v>
      </c>
      <c r="L177" t="str">
        <f>"22012"</f>
        <v>22012</v>
      </c>
      <c r="M177" t="str">
        <f>"N/A"</f>
        <v>N/A</v>
      </c>
      <c r="N177" t="str">
        <f>"redhat.com"</f>
        <v>redhat.com</v>
      </c>
    </row>
    <row r="178" spans="1:14" x14ac:dyDescent="0.35">
      <c r="A178" t="s">
        <v>400</v>
      </c>
      <c r="B178" t="s">
        <v>64</v>
      </c>
      <c r="C178" s="2" t="s">
        <v>808</v>
      </c>
      <c r="D178" t="str">
        <f>"CTO/CGO"</f>
        <v>CTO/CGO</v>
      </c>
      <c r="E178" s="1"/>
      <c r="F178" t="str">
        <f>"InnoVet Health"</f>
        <v>InnoVet Health</v>
      </c>
      <c r="G178" t="str">
        <f>"1-8167858916"</f>
        <v>1-8167858916</v>
      </c>
      <c r="H178" t="str">
        <f>"123 Saint Botolph St."</f>
        <v>123 Saint Botolph St.</v>
      </c>
      <c r="I178" t="str">
        <f>"#1-2"</f>
        <v>#1-2</v>
      </c>
      <c r="J178" t="str">
        <f>"Boston"</f>
        <v>Boston</v>
      </c>
      <c r="K178" t="str">
        <f>"MA"</f>
        <v>MA</v>
      </c>
      <c r="L178" t="str">
        <f>"02117"</f>
        <v>02117</v>
      </c>
      <c r="M178" t="str">
        <f>"SDVOSB"</f>
        <v>SDVOSB</v>
      </c>
      <c r="N178" t="str">
        <f>"innovethealth.com"</f>
        <v>innovethealth.com</v>
      </c>
    </row>
    <row r="179" spans="1:14" x14ac:dyDescent="0.35">
      <c r="A179" t="s">
        <v>14</v>
      </c>
      <c r="B179" t="s">
        <v>353</v>
      </c>
      <c r="C179" s="2" t="s">
        <v>1101</v>
      </c>
      <c r="D179" t="str">
        <f>"President"</f>
        <v>President</v>
      </c>
      <c r="E179" s="1"/>
      <c r="F179" t="str">
        <f>"Federal Business, LLC"</f>
        <v>Federal Business, LLC</v>
      </c>
      <c r="G179" t="str">
        <f>"1-571-543-4700"</f>
        <v>1-571-543-4700</v>
      </c>
      <c r="H179" t="str">
        <f>"8609 Westwood Center Drive"</f>
        <v>8609 Westwood Center Drive</v>
      </c>
      <c r="I179" t="str">
        <f>"Suite 110"</f>
        <v>Suite 110</v>
      </c>
      <c r="J179" t="str">
        <f>"Vienna"</f>
        <v>Vienna</v>
      </c>
      <c r="K179" t="str">
        <f>"Virginia"</f>
        <v>Virginia</v>
      </c>
      <c r="L179" t="str">
        <f>"22182"</f>
        <v>22182</v>
      </c>
      <c r="M179" t="str">
        <f>"Small Business"</f>
        <v>Small Business</v>
      </c>
      <c r="N179" t="str">
        <f>"BusinessofVA.com"</f>
        <v>BusinessofVA.com</v>
      </c>
    </row>
    <row r="180" spans="1:14" x14ac:dyDescent="0.35">
      <c r="A180" t="s">
        <v>14</v>
      </c>
      <c r="B180" t="s">
        <v>157</v>
      </c>
      <c r="C180" s="2" t="s">
        <v>251</v>
      </c>
      <c r="D180" t="str">
        <f>"President and CEO"</f>
        <v>President and CEO</v>
      </c>
      <c r="E180" s="1"/>
      <c r="F180" t="str">
        <f>"Integrated Systems Solutions"</f>
        <v>Integrated Systems Solutions</v>
      </c>
      <c r="G180" t="str">
        <f>"1-7032160144"</f>
        <v>1-7032160144</v>
      </c>
      <c r="H180" t="str">
        <f>"8609 Westwood Center Dr"</f>
        <v>8609 Westwood Center Dr</v>
      </c>
      <c r="I180" t="str">
        <f>"Suite 110"</f>
        <v>Suite 110</v>
      </c>
      <c r="J180" t="str">
        <f>"Dunn Loring"</f>
        <v>Dunn Loring</v>
      </c>
      <c r="K180" t="str">
        <f>"VA"</f>
        <v>VA</v>
      </c>
      <c r="L180" t="str">
        <f>"22027"</f>
        <v>22027</v>
      </c>
      <c r="M180" t="str">
        <f>"SDVOSB|VOSB|Small Disadvantaged Business"</f>
        <v>SDVOSB|VOSB|Small Disadvantaged Business</v>
      </c>
      <c r="N180" t="str">
        <f>"www.issmgmt.com"</f>
        <v>www.issmgmt.com</v>
      </c>
    </row>
    <row r="181" spans="1:14" x14ac:dyDescent="0.35">
      <c r="A181" t="s">
        <v>14</v>
      </c>
      <c r="B181" t="s">
        <v>13</v>
      </c>
      <c r="C181" s="2" t="s">
        <v>15</v>
      </c>
      <c r="D181" t="str">
        <f>"Contractor"</f>
        <v>Contractor</v>
      </c>
      <c r="E181" s="1"/>
      <c r="F181" t="str">
        <f>"VA OIT - CW-LTS"</f>
        <v>VA OIT - CW-LTS</v>
      </c>
      <c r="G181" t="str">
        <f>"1-7032981088"</f>
        <v>1-7032981088</v>
      </c>
      <c r="H181" t="str">
        <f>"4069 Azalea Court"</f>
        <v>4069 Azalea Court</v>
      </c>
      <c r="I181" t="str">
        <f>"  "</f>
        <v xml:space="preserve">  </v>
      </c>
      <c r="J181" t="str">
        <f>"Mandeville"</f>
        <v>Mandeville</v>
      </c>
      <c r="K181" t="str">
        <f>"LA"</f>
        <v>LA</v>
      </c>
      <c r="L181" t="str">
        <f>"70448"</f>
        <v>70448</v>
      </c>
      <c r="M181" t="str">
        <f>"N/A"</f>
        <v>N/A</v>
      </c>
      <c r="N181" t="str">
        <f>"N/A"</f>
        <v>N/A</v>
      </c>
    </row>
    <row r="182" spans="1:14" x14ac:dyDescent="0.35">
      <c r="A182" t="s">
        <v>475</v>
      </c>
      <c r="B182" t="s">
        <v>474</v>
      </c>
      <c r="C182" s="2" t="s">
        <v>476</v>
      </c>
      <c r="D182" t="str">
        <f>"BD"</f>
        <v>BD</v>
      </c>
      <c r="E182" s="1"/>
      <c r="F182" t="str">
        <f>"mobomo"</f>
        <v>mobomo</v>
      </c>
      <c r="G182" t="str">
        <f>"1-2812994468"</f>
        <v>1-2812994468</v>
      </c>
      <c r="H182" t="str">
        <f>"1119 county road 428"</f>
        <v>1119 county road 428</v>
      </c>
      <c r="I182" t="str">
        <f>"  "</f>
        <v xml:space="preserve">  </v>
      </c>
      <c r="J182" t="str">
        <f>"angleton"</f>
        <v>angleton</v>
      </c>
      <c r="K182" t="str">
        <f>"texas"</f>
        <v>texas</v>
      </c>
      <c r="L182" t="str">
        <f>"77515"</f>
        <v>77515</v>
      </c>
      <c r="M182" t="str">
        <f>"Small Business"</f>
        <v>Small Business</v>
      </c>
      <c r="N182" t="str">
        <f>"Mobomo.com"</f>
        <v>Mobomo.com</v>
      </c>
    </row>
    <row r="183" spans="1:14" x14ac:dyDescent="0.35">
      <c r="A183" t="s">
        <v>878</v>
      </c>
      <c r="B183" t="s">
        <v>877</v>
      </c>
      <c r="C183" s="2" t="s">
        <v>879</v>
      </c>
      <c r="D183" t="str">
        <f>"Federal Director"</f>
        <v>Federal Director</v>
      </c>
      <c r="E183" t="s">
        <v>23</v>
      </c>
      <c r="F183" t="str">
        <f>"Pega"</f>
        <v>Pega</v>
      </c>
      <c r="G183" t="str">
        <f>"1-2390300-5982"</f>
        <v>1-2390300-5982</v>
      </c>
      <c r="H183" t="str">
        <f>"21000 Atlantic Boulevard"</f>
        <v>21000 Atlantic Boulevard</v>
      </c>
      <c r="I183" t="str">
        <f>"Suite 401"</f>
        <v>Suite 401</v>
      </c>
      <c r="J183" t="str">
        <f>"Sterling"</f>
        <v>Sterling</v>
      </c>
      <c r="K183" t="str">
        <f>"VA"</f>
        <v>VA</v>
      </c>
      <c r="L183" t="str">
        <f>"20166"</f>
        <v>20166</v>
      </c>
      <c r="M183" t="str">
        <f>"Large Business"</f>
        <v>Large Business</v>
      </c>
      <c r="N183" t="str">
        <f>"www.pega.com"</f>
        <v>www.pega.com</v>
      </c>
    </row>
    <row r="184" spans="1:14" x14ac:dyDescent="0.35">
      <c r="A184" t="s">
        <v>1055</v>
      </c>
      <c r="B184" t="s">
        <v>1054</v>
      </c>
      <c r="C184" s="2" t="s">
        <v>1056</v>
      </c>
      <c r="D184" t="str">
        <f>"Business Analyst"</f>
        <v>Business Analyst</v>
      </c>
      <c r="E184" s="1"/>
      <c r="F184" t="str">
        <f>"Expansia Group LLC"</f>
        <v>Expansia Group LLC</v>
      </c>
      <c r="G184" t="str">
        <f>"1-6034932205"</f>
        <v>1-6034932205</v>
      </c>
      <c r="H184" t="str">
        <f>"71 Spit Brook Rd"</f>
        <v>71 Spit Brook Rd</v>
      </c>
      <c r="I184" t="str">
        <f>"#410"</f>
        <v>#410</v>
      </c>
      <c r="J184" t="str">
        <f>"Nashua"</f>
        <v>Nashua</v>
      </c>
      <c r="K184" t="str">
        <f>"New Hampshire"</f>
        <v>New Hampshire</v>
      </c>
      <c r="L184" t="str">
        <f>"03060"</f>
        <v>03060</v>
      </c>
      <c r="M184" t="str">
        <f>"SDVOSB|Small Business"</f>
        <v>SDVOSB|Small Business</v>
      </c>
      <c r="N184" t="str">
        <f>"https://expansiagroup.com/"</f>
        <v>https://expansiagroup.com/</v>
      </c>
    </row>
    <row r="185" spans="1:14" x14ac:dyDescent="0.35">
      <c r="A185" t="s">
        <v>798</v>
      </c>
      <c r="B185" t="s">
        <v>797</v>
      </c>
      <c r="C185" s="2" t="s">
        <v>799</v>
      </c>
      <c r="D185" t="str">
        <f>"Federal BD Manager"</f>
        <v>Federal BD Manager</v>
      </c>
      <c r="E185" t="s">
        <v>22</v>
      </c>
      <c r="F185" t="str">
        <f>"Hirevue"</f>
        <v>Hirevue</v>
      </c>
      <c r="G185" t="str">
        <f>"1-9176409853"</f>
        <v>1-9176409853</v>
      </c>
      <c r="H185" t="str">
        <f>"125 Harry S Truman Dr"</f>
        <v>125 Harry S Truman Dr</v>
      </c>
      <c r="I185" t="str">
        <f>"Apt 32"</f>
        <v>Apt 32</v>
      </c>
      <c r="J185" t="str">
        <f>"Largo"</f>
        <v>Largo</v>
      </c>
      <c r="K185" t="str">
        <f>"Maryland"</f>
        <v>Maryland</v>
      </c>
      <c r="L185" t="str">
        <f>"84095"</f>
        <v>84095</v>
      </c>
      <c r="M185" t="str">
        <f>"Large Business"</f>
        <v>Large Business</v>
      </c>
      <c r="N185" t="str">
        <f>"hirevue.com"</f>
        <v>hirevue.com</v>
      </c>
    </row>
    <row r="186" spans="1:14" x14ac:dyDescent="0.35">
      <c r="A186" t="s">
        <v>638</v>
      </c>
      <c r="B186" t="s">
        <v>637</v>
      </c>
      <c r="C186" s="2" t="s">
        <v>639</v>
      </c>
      <c r="D186" t="str">
        <f>"CMO"</f>
        <v>CMO</v>
      </c>
      <c r="E186" s="1"/>
      <c r="F186" t="str">
        <f>"Grace and Associates"</f>
        <v>Grace and Associates</v>
      </c>
      <c r="G186" t="str">
        <f>"1-7607126944"</f>
        <v>1-7607126944</v>
      </c>
      <c r="H186" t="str">
        <f>"92 Lynx Circle"</f>
        <v>92 Lynx Circle</v>
      </c>
      <c r="I186" t="str">
        <f>"  "</f>
        <v xml:space="preserve">  </v>
      </c>
      <c r="J186" t="str">
        <f>"Gypsum"</f>
        <v>Gypsum</v>
      </c>
      <c r="K186" t="str">
        <f>"Colorado"</f>
        <v>Colorado</v>
      </c>
      <c r="L186" t="str">
        <f>"81637"</f>
        <v>81637</v>
      </c>
      <c r="M186" t="str">
        <f>"Small Business"</f>
        <v>Small Business</v>
      </c>
      <c r="N186" t="str">
        <f>""</f>
        <v/>
      </c>
    </row>
    <row r="187" spans="1:14" x14ac:dyDescent="0.35">
      <c r="A187" t="s">
        <v>949</v>
      </c>
      <c r="B187" t="s">
        <v>948</v>
      </c>
      <c r="C187" s="2" t="s">
        <v>950</v>
      </c>
      <c r="D187" t="str">
        <f>"CEO"</f>
        <v>CEO</v>
      </c>
      <c r="E187" s="1"/>
      <c r="F187" t="str">
        <f>"The Computer Consulting Group, LLC"</f>
        <v>The Computer Consulting Group, LLC</v>
      </c>
      <c r="G187" t="str">
        <f>"1-334-213-9646"</f>
        <v>1-334-213-9646</v>
      </c>
      <c r="H187" t="str">
        <f>"445 Dexter Avenue Suite 4050"</f>
        <v>445 Dexter Avenue Suite 4050</v>
      </c>
      <c r="I187" t="str">
        <f>"  "</f>
        <v xml:space="preserve">  </v>
      </c>
      <c r="J187" t="str">
        <f>"Montgomery"</f>
        <v>Montgomery</v>
      </c>
      <c r="K187" t="str">
        <f>"AL"</f>
        <v>AL</v>
      </c>
      <c r="L187" t="str">
        <f>"36104"</f>
        <v>36104</v>
      </c>
      <c r="M187" t="str">
        <f>"VOSB|WOSB|Small Business|Small Disadvantaged Business"</f>
        <v>VOSB|WOSB|Small Business|Small Disadvantaged Business</v>
      </c>
      <c r="N187" t="str">
        <f>"https://ccg-al.com"</f>
        <v>https://ccg-al.com</v>
      </c>
    </row>
    <row r="188" spans="1:14" x14ac:dyDescent="0.35">
      <c r="A188" t="s">
        <v>853</v>
      </c>
      <c r="B188" t="s">
        <v>852</v>
      </c>
      <c r="C188" s="2" t="s">
        <v>854</v>
      </c>
      <c r="D188" t="str">
        <f>"CTO"</f>
        <v>CTO</v>
      </c>
      <c r="E188" s="1"/>
      <c r="F188" t="str">
        <f>"The Computer Consulting Group, LLC"</f>
        <v>The Computer Consulting Group, LLC</v>
      </c>
      <c r="G188" t="str">
        <f>"1-4044164001"</f>
        <v>1-4044164001</v>
      </c>
      <c r="H188" t="str">
        <f>"445 Dexter Avenue Suite 4050"</f>
        <v>445 Dexter Avenue Suite 4050</v>
      </c>
      <c r="I188" t="str">
        <f>"  "</f>
        <v xml:space="preserve">  </v>
      </c>
      <c r="J188" t="str">
        <f>"Montgomery"</f>
        <v>Montgomery</v>
      </c>
      <c r="K188" t="str">
        <f>"AL"</f>
        <v>AL</v>
      </c>
      <c r="L188" t="str">
        <f>"36104"</f>
        <v>36104</v>
      </c>
      <c r="M188" t="str">
        <f>"SDVOSB|VOSB|WOSB|Small Business|Small Disadvantaged Business"</f>
        <v>SDVOSB|VOSB|WOSB|Small Business|Small Disadvantaged Business</v>
      </c>
      <c r="N188" t="str">
        <f>"https://ccg-al.com"</f>
        <v>https://ccg-al.com</v>
      </c>
    </row>
    <row r="189" spans="1:14" x14ac:dyDescent="0.35">
      <c r="A189" t="s">
        <v>848</v>
      </c>
      <c r="B189" t="s">
        <v>847</v>
      </c>
      <c r="C189" s="2" t="s">
        <v>849</v>
      </c>
      <c r="D189" t="str">
        <f>"Sr. Business Transformation Consultant"</f>
        <v>Sr. Business Transformation Consultant</v>
      </c>
      <c r="E189" t="s">
        <v>23</v>
      </c>
      <c r="F189" t="str">
        <f>"IBM"</f>
        <v>IBM</v>
      </c>
      <c r="G189" t="str">
        <f>"1-6785649678"</f>
        <v>1-6785649678</v>
      </c>
      <c r="H189" t="str">
        <f>"6303 Barfield RD NE"</f>
        <v>6303 Barfield RD NE</v>
      </c>
      <c r="I189" t="str">
        <f>"  "</f>
        <v xml:space="preserve">  </v>
      </c>
      <c r="J189" t="str">
        <f>"Sandy Spring"</f>
        <v>Sandy Spring</v>
      </c>
      <c r="K189" t="str">
        <f>"Georgia"</f>
        <v>Georgia</v>
      </c>
      <c r="L189" t="str">
        <f>"30328"</f>
        <v>30328</v>
      </c>
      <c r="M189" t="str">
        <f>"Large Business"</f>
        <v>Large Business</v>
      </c>
      <c r="N189" t="str">
        <f>"www.ibm.com"</f>
        <v>www.ibm.com</v>
      </c>
    </row>
    <row r="190" spans="1:14" x14ac:dyDescent="0.35">
      <c r="A190" t="s">
        <v>110</v>
      </c>
      <c r="B190" t="s">
        <v>109</v>
      </c>
      <c r="C190" s="2" t="s">
        <v>111</v>
      </c>
      <c r="D190" t="str">
        <f>"Regional Sales Manager"</f>
        <v>Regional Sales Manager</v>
      </c>
      <c r="E190" s="1"/>
      <c r="F190" t="str">
        <f>"Blackwood Associates, Inc."</f>
        <v>Blackwood Associates, Inc.</v>
      </c>
      <c r="G190" t="str">
        <f>"1-12027380473"</f>
        <v>1-12027380473</v>
      </c>
      <c r="H190" t="str">
        <f>"1835-A Forest Drive"</f>
        <v>1835-A Forest Drive</v>
      </c>
      <c r="I190" t="str">
        <f>"  "</f>
        <v xml:space="preserve">  </v>
      </c>
      <c r="J190" t="str">
        <f>"Annapolis"</f>
        <v>Annapolis</v>
      </c>
      <c r="K190" t="str">
        <f>"MD"</f>
        <v>MD</v>
      </c>
      <c r="L190" t="str">
        <f>"21401"</f>
        <v>21401</v>
      </c>
      <c r="M190" t="str">
        <f>"Small Business"</f>
        <v>Small Business</v>
      </c>
      <c r="N190" t="str">
        <f>"https://www.blackwoodassociates.com/"</f>
        <v>https://www.blackwoodassociates.com/</v>
      </c>
    </row>
    <row r="191" spans="1:14" x14ac:dyDescent="0.35">
      <c r="A191" t="s">
        <v>300</v>
      </c>
      <c r="B191" t="s">
        <v>112</v>
      </c>
      <c r="C191" s="2" t="s">
        <v>301</v>
      </c>
      <c r="D191" t="str">
        <f>"Federal Account Director"</f>
        <v>Federal Account Director</v>
      </c>
      <c r="E191" s="1"/>
      <c r="F191" t="str">
        <f>"ClosedLoop.ai"</f>
        <v>ClosedLoop.ai</v>
      </c>
      <c r="G191" t="str">
        <f>"1-6178938648"</f>
        <v>1-6178938648</v>
      </c>
      <c r="H191" t="str">
        <f>"512 E Riverside Dr"</f>
        <v>512 E Riverside Dr</v>
      </c>
      <c r="I191" t="str">
        <f>"  "</f>
        <v xml:space="preserve">  </v>
      </c>
      <c r="J191" t="str">
        <f>"Austin"</f>
        <v>Austin</v>
      </c>
      <c r="K191" t="str">
        <f>"Texas"</f>
        <v>Texas</v>
      </c>
      <c r="L191" t="str">
        <f>"78704"</f>
        <v>78704</v>
      </c>
      <c r="M191" t="str">
        <f>"Small Business"</f>
        <v>Small Business</v>
      </c>
      <c r="N191" t="str">
        <f>""</f>
        <v/>
      </c>
    </row>
    <row r="192" spans="1:14" x14ac:dyDescent="0.35">
      <c r="A192" t="s">
        <v>886</v>
      </c>
      <c r="B192" t="s">
        <v>885</v>
      </c>
      <c r="C192" s="2" t="s">
        <v>887</v>
      </c>
      <c r="D192" t="str">
        <f>"consultant"</f>
        <v>consultant</v>
      </c>
      <c r="E192" s="1"/>
      <c r="F192" t="str">
        <f>"Ferlise &amp; Associates"</f>
        <v>Ferlise &amp; Associates</v>
      </c>
      <c r="G192" t="str">
        <f>"1-7325350871"</f>
        <v>1-7325350871</v>
      </c>
      <c r="H192" t="str">
        <f>"1212 deal road"</f>
        <v>1212 deal road</v>
      </c>
      <c r="I192" t="str">
        <f>"  "</f>
        <v xml:space="preserve">  </v>
      </c>
      <c r="J192" t="str">
        <f>"ocean"</f>
        <v>ocean</v>
      </c>
      <c r="K192" t="str">
        <f>"nj"</f>
        <v>nj</v>
      </c>
      <c r="L192" t="str">
        <f>"07712"</f>
        <v>07712</v>
      </c>
      <c r="M192" t="str">
        <f>"Small Business"</f>
        <v>Small Business</v>
      </c>
      <c r="N192" t="str">
        <f>""</f>
        <v/>
      </c>
    </row>
    <row r="193" spans="1:14" x14ac:dyDescent="0.35">
      <c r="A193" t="s">
        <v>190</v>
      </c>
      <c r="B193" t="s">
        <v>419</v>
      </c>
      <c r="C193" s="2" t="s">
        <v>667</v>
      </c>
      <c r="D193" t="str">
        <f>"Director of Defense Programs"</f>
        <v>Director of Defense Programs</v>
      </c>
      <c r="E193" s="1"/>
      <c r="F193" t="str">
        <f>"INODE INK CORPORATION"</f>
        <v>INODE INK CORPORATION</v>
      </c>
      <c r="G193" t="str">
        <f>"1-8887146633"</f>
        <v>1-8887146633</v>
      </c>
      <c r="H193" t="str">
        <f>"390 Interlocken Crescent Suite 350"</f>
        <v>390 Interlocken Crescent Suite 350</v>
      </c>
      <c r="I193" t="str">
        <f>"  "</f>
        <v xml:space="preserve">  </v>
      </c>
      <c r="J193" t="str">
        <f>"Broomfield"</f>
        <v>Broomfield</v>
      </c>
      <c r="K193" t="str">
        <f>"CO"</f>
        <v>CO</v>
      </c>
      <c r="L193" t="str">
        <f>"80021-2728"</f>
        <v>80021-2728</v>
      </c>
      <c r="M193" t="str">
        <f>"WOSB|Small Business"</f>
        <v>WOSB|Small Business</v>
      </c>
      <c r="N193" t="str">
        <f>"https://inodeink.com/"</f>
        <v>https://inodeink.com/</v>
      </c>
    </row>
    <row r="194" spans="1:14" x14ac:dyDescent="0.35">
      <c r="A194" t="s">
        <v>190</v>
      </c>
      <c r="B194" t="s">
        <v>1066</v>
      </c>
      <c r="C194" s="2" t="s">
        <v>1067</v>
      </c>
      <c r="D194" t="str">
        <f>"Director"</f>
        <v>Director</v>
      </c>
      <c r="E194" t="s">
        <v>23</v>
      </c>
      <c r="F194" t="str">
        <f>"Palmetto GBA"</f>
        <v>Palmetto GBA</v>
      </c>
      <c r="G194" t="str">
        <f>"1-3015206557"</f>
        <v>1-3015206557</v>
      </c>
      <c r="H194" t="str">
        <f>"17 Technology Circle"</f>
        <v>17 Technology Circle</v>
      </c>
      <c r="I194" t="str">
        <f>"  "</f>
        <v xml:space="preserve">  </v>
      </c>
      <c r="J194" t="str">
        <f>"Columbia"</f>
        <v>Columbia</v>
      </c>
      <c r="K194" t="str">
        <f>"SC"</f>
        <v>SC</v>
      </c>
      <c r="L194" t="str">
        <f>"29203"</f>
        <v>29203</v>
      </c>
      <c r="M194" t="str">
        <f>"Large Business"</f>
        <v>Large Business</v>
      </c>
      <c r="N194" t="str">
        <f>"www.palmettogbas.com"</f>
        <v>www.palmettogbas.com</v>
      </c>
    </row>
    <row r="195" spans="1:14" x14ac:dyDescent="0.35">
      <c r="A195" t="s">
        <v>190</v>
      </c>
      <c r="B195" t="s">
        <v>376</v>
      </c>
      <c r="C195" s="2" t="s">
        <v>377</v>
      </c>
      <c r="D195" t="str">
        <f>"Managing Partner"</f>
        <v>Managing Partner</v>
      </c>
      <c r="E195" s="1"/>
      <c r="F195" t="str">
        <f>"NolanMackenzie"</f>
        <v>NolanMackenzie</v>
      </c>
      <c r="G195" t="str">
        <f>"1-3012492698"</f>
        <v>1-3012492698</v>
      </c>
      <c r="H195" t="str">
        <f>"8201 Corporate Drive"</f>
        <v>8201 Corporate Drive</v>
      </c>
      <c r="I195" t="str">
        <f>"Suite 120-I"</f>
        <v>Suite 120-I</v>
      </c>
      <c r="J195" t="str">
        <f>"Hyattsville"</f>
        <v>Hyattsville</v>
      </c>
      <c r="K195" t="str">
        <f>"MD"</f>
        <v>MD</v>
      </c>
      <c r="L195" t="str">
        <f>"20785"</f>
        <v>20785</v>
      </c>
      <c r="M195" t="str">
        <f>"SDVOSB"</f>
        <v>SDVOSB</v>
      </c>
      <c r="N195" t="str">
        <f>"www.nolanmac.com"</f>
        <v>www.nolanmac.com</v>
      </c>
    </row>
    <row r="196" spans="1:14" x14ac:dyDescent="0.35">
      <c r="A196" t="s">
        <v>190</v>
      </c>
      <c r="B196" t="s">
        <v>495</v>
      </c>
      <c r="C196" s="2" t="s">
        <v>741</v>
      </c>
      <c r="D196" t="str">
        <f>"Business Development Research Analyst"</f>
        <v>Business Development Research Analyst</v>
      </c>
      <c r="E196" s="1"/>
      <c r="F196" t="str">
        <f>"Strategic Resilience Group LLC"</f>
        <v>Strategic Resilience Group LLC</v>
      </c>
      <c r="G196" t="str">
        <f>"1-7039151798"</f>
        <v>1-7039151798</v>
      </c>
      <c r="H196" t="str">
        <f>"237 Garrisonville Road Suite 202"</f>
        <v>237 Garrisonville Road Suite 202</v>
      </c>
      <c r="I196" t="str">
        <f>"  "</f>
        <v xml:space="preserve">  </v>
      </c>
      <c r="J196" t="str">
        <f>"Stafford"</f>
        <v>Stafford</v>
      </c>
      <c r="K196" t="str">
        <f>"Virginia"</f>
        <v>Virginia</v>
      </c>
      <c r="L196" t="str">
        <f>"22554"</f>
        <v>22554</v>
      </c>
      <c r="M196" t="str">
        <f>"SDVOSB"</f>
        <v>SDVOSB</v>
      </c>
      <c r="N196" t="str">
        <f>"https://www.srgadaptive.com/"</f>
        <v>https://www.srgadaptive.com/</v>
      </c>
    </row>
    <row r="197" spans="1:14" x14ac:dyDescent="0.35">
      <c r="A197" t="s">
        <v>190</v>
      </c>
      <c r="B197" t="s">
        <v>122</v>
      </c>
      <c r="C197" s="2" t="s">
        <v>991</v>
      </c>
      <c r="D197" t="str">
        <f>"Partner"</f>
        <v>Partner</v>
      </c>
      <c r="E197" s="1"/>
      <c r="F197" t="str">
        <f>"Decisive Point Consulting Group LLC"</f>
        <v>Decisive Point Consulting Group LLC</v>
      </c>
      <c r="G197" t="str">
        <f>"1-7035172043"</f>
        <v>1-7035172043</v>
      </c>
      <c r="H197" t="str">
        <f>"9200 Hampton Hunt Drive"</f>
        <v>9200 Hampton Hunt Drive</v>
      </c>
      <c r="I197" t="str">
        <f>"  "</f>
        <v xml:space="preserve">  </v>
      </c>
      <c r="J197" t="str">
        <f>"Fairfax Station"</f>
        <v>Fairfax Station</v>
      </c>
      <c r="K197" t="str">
        <f>"VA"</f>
        <v>VA</v>
      </c>
      <c r="L197" t="str">
        <f>"22039"</f>
        <v>22039</v>
      </c>
      <c r="M197" t="str">
        <f>"SDVOSB|VOSB|Small Business"</f>
        <v>SDVOSB|VOSB|Small Business</v>
      </c>
      <c r="N197" t="str">
        <f>"https://www.decisivepointconsulting.com/"</f>
        <v>https://www.decisivepointconsulting.com/</v>
      </c>
    </row>
    <row r="198" spans="1:14" x14ac:dyDescent="0.35">
      <c r="A198" t="s">
        <v>190</v>
      </c>
      <c r="B198" t="s">
        <v>39</v>
      </c>
      <c r="C198" s="2" t="s">
        <v>191</v>
      </c>
      <c r="D198" t="str">
        <f>"Program Manager"</f>
        <v>Program Manager</v>
      </c>
      <c r="E198" t="s">
        <v>22</v>
      </c>
      <c r="F198" t="str">
        <f>"Technatomy Corporation"</f>
        <v>Technatomy Corporation</v>
      </c>
      <c r="G198" t="str">
        <f>"1-US*2104548574"</f>
        <v>1-US*2104548574</v>
      </c>
      <c r="H198" t="str">
        <f>"3877 Fairfax Ridge Rd"</f>
        <v>3877 Fairfax Ridge Rd</v>
      </c>
      <c r="I198" t="str">
        <f>"Suite 205C"</f>
        <v>Suite 205C</v>
      </c>
      <c r="J198" t="str">
        <f>"Fairfax"</f>
        <v>Fairfax</v>
      </c>
      <c r="K198" t="str">
        <f>"VA"</f>
        <v>VA</v>
      </c>
      <c r="L198" t="str">
        <f>"22030"</f>
        <v>22030</v>
      </c>
      <c r="M198" t="str">
        <f>"SDVOSB"</f>
        <v>SDVOSB</v>
      </c>
      <c r="N198" t="str">
        <f>"www.technatomy.com"</f>
        <v>www.technatomy.com</v>
      </c>
    </row>
    <row r="199" spans="1:14" x14ac:dyDescent="0.35">
      <c r="A199" t="s">
        <v>255</v>
      </c>
      <c r="B199" t="s">
        <v>254</v>
      </c>
      <c r="C199" s="2" t="s">
        <v>256</v>
      </c>
      <c r="D199" t="str">
        <f>"Director"</f>
        <v>Director</v>
      </c>
      <c r="E199" t="s">
        <v>34</v>
      </c>
      <c r="F199" t="str">
        <f>"DSS, Inc."</f>
        <v>DSS, Inc.</v>
      </c>
      <c r="G199" t="str">
        <f>"1-5618475789"</f>
        <v>1-5618475789</v>
      </c>
      <c r="H199" t="str">
        <f>"3840 Farrcroft Green"</f>
        <v>3840 Farrcroft Green</v>
      </c>
      <c r="I199" t="str">
        <f>"  "</f>
        <v xml:space="preserve">  </v>
      </c>
      <c r="J199" t="str">
        <f>"Fairfax"</f>
        <v>Fairfax</v>
      </c>
      <c r="K199" t="str">
        <f>"VA"</f>
        <v>VA</v>
      </c>
      <c r="L199" t="str">
        <f>"22030"</f>
        <v>22030</v>
      </c>
      <c r="M199" t="str">
        <f>"Large Business"</f>
        <v>Large Business</v>
      </c>
      <c r="N199" t="str">
        <f>"www.dssinc.com"</f>
        <v>www.dssinc.com</v>
      </c>
    </row>
    <row r="200" spans="1:14" x14ac:dyDescent="0.35">
      <c r="A200" t="s">
        <v>178</v>
      </c>
      <c r="B200" t="s">
        <v>177</v>
      </c>
      <c r="C200" s="2" t="s">
        <v>179</v>
      </c>
      <c r="D200" t="str">
        <f>"Technical Manager - Automation and Data &amp;AI"</f>
        <v>Technical Manager - Automation and Data &amp;AI</v>
      </c>
      <c r="E200" t="s">
        <v>23</v>
      </c>
      <c r="F200" t="str">
        <f>"IBM"</f>
        <v>IBM</v>
      </c>
      <c r="G200" t="str">
        <f>"1-5612222222"</f>
        <v>1-5612222222</v>
      </c>
      <c r="H200" t="str">
        <f>"1 Alhambra Plaza,"</f>
        <v>1 Alhambra Plaza,</v>
      </c>
      <c r="I200" t="str">
        <f>"  "</f>
        <v xml:space="preserve">  </v>
      </c>
      <c r="J200" t="str">
        <f>"Coral Gables"</f>
        <v>Coral Gables</v>
      </c>
      <c r="K200" t="str">
        <f>"FL"</f>
        <v>FL</v>
      </c>
      <c r="L200" t="str">
        <f>"33134"</f>
        <v>33134</v>
      </c>
      <c r="M200" t="str">
        <f>"Large Business"</f>
        <v>Large Business</v>
      </c>
      <c r="N200" t="str">
        <f>"www.ibm.com"</f>
        <v>www.ibm.com</v>
      </c>
    </row>
    <row r="201" spans="1:14" x14ac:dyDescent="0.35">
      <c r="A201" t="s">
        <v>912</v>
      </c>
      <c r="B201" t="s">
        <v>911</v>
      </c>
      <c r="C201" s="2" t="s">
        <v>913</v>
      </c>
      <c r="D201" t="str">
        <f>"Managing Principal"</f>
        <v>Managing Principal</v>
      </c>
      <c r="E201" s="1"/>
      <c r="F201" t="str">
        <f>"Vandanam LLC"</f>
        <v>Vandanam LLC</v>
      </c>
      <c r="G201" t="str">
        <f>"1-6463522689"</f>
        <v>1-6463522689</v>
      </c>
      <c r="H201" t="str">
        <f>"7053 Western Ave NW"</f>
        <v>7053 Western Ave NW</v>
      </c>
      <c r="I201" t="str">
        <f>"  "</f>
        <v xml:space="preserve">  </v>
      </c>
      <c r="J201" t="str">
        <f>"Washington"</f>
        <v>Washington</v>
      </c>
      <c r="K201" t="str">
        <f>"DC"</f>
        <v>DC</v>
      </c>
      <c r="L201" t="str">
        <f>"20015"</f>
        <v>20015</v>
      </c>
      <c r="M201" t="str">
        <f>"SDVOSB|VOSB|HUBZone|Small Business"</f>
        <v>SDVOSB|VOSB|HUBZone|Small Business</v>
      </c>
      <c r="N201" t="str">
        <f>""</f>
        <v/>
      </c>
    </row>
    <row r="202" spans="1:14" x14ac:dyDescent="0.35">
      <c r="A202" t="s">
        <v>1103</v>
      </c>
      <c r="B202" t="s">
        <v>1102</v>
      </c>
      <c r="C202" s="2" t="s">
        <v>1104</v>
      </c>
      <c r="D202" t="str">
        <f>"President/CEO"</f>
        <v>President/CEO</v>
      </c>
      <c r="E202" s="1"/>
      <c r="F202" t="str">
        <f>"Kaminski"</f>
        <v>Kaminski</v>
      </c>
      <c r="G202" t="str">
        <f>"1-US*9195772703"</f>
        <v>1-US*9195772703</v>
      </c>
      <c r="H202" t="str">
        <f>"205 Technology Park Ln"</f>
        <v>205 Technology Park Ln</v>
      </c>
      <c r="I202" t="str">
        <f>"  "</f>
        <v xml:space="preserve">  </v>
      </c>
      <c r="J202" t="str">
        <f>"Fuquay Varina"</f>
        <v>Fuquay Varina</v>
      </c>
      <c r="K202" t="str">
        <f>"NC"</f>
        <v>NC</v>
      </c>
      <c r="L202" t="str">
        <f>"27526"</f>
        <v>27526</v>
      </c>
      <c r="M202" t="str">
        <f>"WOSB|Small Business"</f>
        <v>WOSB|Small Business</v>
      </c>
      <c r="N202" t="str">
        <f>"www.dynamictelecom.com"</f>
        <v>www.dynamictelecom.com</v>
      </c>
    </row>
    <row r="203" spans="1:14" x14ac:dyDescent="0.35">
      <c r="A203" t="s">
        <v>497</v>
      </c>
      <c r="B203" t="s">
        <v>496</v>
      </c>
      <c r="C203" s="2" t="s">
        <v>498</v>
      </c>
      <c r="D203" t="str">
        <f>"Automation Sales Specialist"</f>
        <v>Automation Sales Specialist</v>
      </c>
      <c r="E203" t="s">
        <v>23</v>
      </c>
      <c r="F203" t="str">
        <f>"IBM Corporation"</f>
        <v>IBM Corporation</v>
      </c>
      <c r="G203" t="str">
        <f>"1-6464557272"</f>
        <v>1-6464557272</v>
      </c>
      <c r="H203" t="str">
        <f>"105 Madison Avenue"</f>
        <v>105 Madison Avenue</v>
      </c>
      <c r="I203" t="str">
        <f>"  "</f>
        <v xml:space="preserve">  </v>
      </c>
      <c r="J203" t="str">
        <f>"New York"</f>
        <v>New York</v>
      </c>
      <c r="K203" t="str">
        <f>"NY"</f>
        <v>NY</v>
      </c>
      <c r="L203" t="str">
        <f>"10016"</f>
        <v>10016</v>
      </c>
      <c r="M203" t="str">
        <f>"Large Business"</f>
        <v>Large Business</v>
      </c>
      <c r="N203" t="str">
        <f>""</f>
        <v/>
      </c>
    </row>
    <row r="204" spans="1:14" x14ac:dyDescent="0.35">
      <c r="A204" t="s">
        <v>630</v>
      </c>
      <c r="B204" t="s">
        <v>255</v>
      </c>
      <c r="C204" s="2" t="s">
        <v>723</v>
      </c>
      <c r="D204" t="str">
        <f>"Vice President Business Development"</f>
        <v>Vice President Business Development</v>
      </c>
      <c r="E204" t="s">
        <v>34</v>
      </c>
      <c r="F204" t="str">
        <f>"B3"</f>
        <v>B3</v>
      </c>
      <c r="G204" t="str">
        <f>"1-410-5707962"</f>
        <v>1-410-5707962</v>
      </c>
      <c r="H204" t="str">
        <f>"8666 Tower Dr."</f>
        <v>8666 Tower Dr.</v>
      </c>
      <c r="I204" t="str">
        <f>"  "</f>
        <v xml:space="preserve">  </v>
      </c>
      <c r="J204" t="str">
        <f>"Laurel"</f>
        <v>Laurel</v>
      </c>
      <c r="K204" t="str">
        <f>"MD"</f>
        <v>MD</v>
      </c>
      <c r="L204" t="str">
        <f>"20723"</f>
        <v>20723</v>
      </c>
      <c r="M204" t="str">
        <f>"Large Business"</f>
        <v>Large Business</v>
      </c>
      <c r="N204" t="str">
        <f>"https://www.octo.us/"</f>
        <v>https://www.octo.us/</v>
      </c>
    </row>
    <row r="205" spans="1:14" x14ac:dyDescent="0.35">
      <c r="A205" t="s">
        <v>630</v>
      </c>
      <c r="B205" t="s">
        <v>431</v>
      </c>
      <c r="C205" s="2" t="s">
        <v>752</v>
      </c>
      <c r="D205" t="str">
        <f>"Client Solutions Executive"</f>
        <v>Client Solutions Executive</v>
      </c>
      <c r="E205" s="1"/>
      <c r="F205" t="str">
        <f>"AT&amp;T Government Solutions"</f>
        <v>AT&amp;T Government Solutions</v>
      </c>
      <c r="G205" t="str">
        <f>"1-1 (703) 223-2151"</f>
        <v>1-1 (703) 223-2151</v>
      </c>
      <c r="H205" t="str">
        <f>"3033 Chain Bridge Rd"</f>
        <v>3033 Chain Bridge Rd</v>
      </c>
      <c r="I205" t="str">
        <f>"  "</f>
        <v xml:space="preserve">  </v>
      </c>
      <c r="J205" t="str">
        <f>"Oakton"</f>
        <v>Oakton</v>
      </c>
      <c r="K205" t="str">
        <f>"Virginia"</f>
        <v>Virginia</v>
      </c>
      <c r="L205" t="str">
        <f>"22185"</f>
        <v>22185</v>
      </c>
      <c r="M205" t="str">
        <f>"Large Business"</f>
        <v>Large Business</v>
      </c>
      <c r="N205" t="str">
        <f>""</f>
        <v/>
      </c>
    </row>
    <row r="206" spans="1:14" x14ac:dyDescent="0.35">
      <c r="A206" t="s">
        <v>552</v>
      </c>
      <c r="B206" t="s">
        <v>495</v>
      </c>
      <c r="C206" s="2" t="s">
        <v>718</v>
      </c>
      <c r="D206" t="str">
        <f>"EVP"</f>
        <v>EVP</v>
      </c>
      <c r="E206" s="1"/>
      <c r="F206" t="str">
        <f>"Client First Technologies"</f>
        <v>Client First Technologies</v>
      </c>
      <c r="G206" t="str">
        <f>"1-7032179261"</f>
        <v>1-7032179261</v>
      </c>
      <c r="H206" t="str">
        <f>"2200 PENNSYLVANIA AVENUE, N.W."</f>
        <v>2200 PENNSYLVANIA AVENUE, N.W.</v>
      </c>
      <c r="I206" t="str">
        <f>"4TH FLOOR EAST"</f>
        <v>4TH FLOOR EAST</v>
      </c>
      <c r="J206" t="str">
        <f>"Washington"</f>
        <v>Washington</v>
      </c>
      <c r="K206" t="str">
        <f>"DC"</f>
        <v>DC</v>
      </c>
      <c r="L206" t="str">
        <f>"20037"</f>
        <v>20037</v>
      </c>
      <c r="M206" t="str">
        <f>"SDVOSB|VOSB"</f>
        <v>SDVOSB|VOSB</v>
      </c>
      <c r="N206" t="str">
        <f>""</f>
        <v/>
      </c>
    </row>
    <row r="207" spans="1:14" x14ac:dyDescent="0.35">
      <c r="A207" t="s">
        <v>444</v>
      </c>
      <c r="B207" t="s">
        <v>443</v>
      </c>
      <c r="C207" s="2" t="s">
        <v>445</v>
      </c>
      <c r="D207" t="str">
        <f>"Senior Administrator"</f>
        <v>Senior Administrator</v>
      </c>
      <c r="E207" s="1"/>
      <c r="F207" t="str">
        <f>"Veterans Alliance Resourcing, Inc"</f>
        <v>Veterans Alliance Resourcing, Inc</v>
      </c>
      <c r="G207" t="str">
        <f>"1-214-245-4408"</f>
        <v>1-214-245-4408</v>
      </c>
      <c r="H207" t="str">
        <f>"12805 Beltex Drive, Unit C-3"</f>
        <v>12805 Beltex Drive, Unit C-3</v>
      </c>
      <c r="I207" t="str">
        <f>"  "</f>
        <v xml:space="preserve">  </v>
      </c>
      <c r="J207" t="str">
        <f>"Manor"</f>
        <v>Manor</v>
      </c>
      <c r="K207" t="str">
        <f>"Texas"</f>
        <v>Texas</v>
      </c>
      <c r="L207" t="str">
        <f>"78653"</f>
        <v>78653</v>
      </c>
      <c r="M207" t="str">
        <f>"SDVOSB|VOSB|Small Business"</f>
        <v>SDVOSB|VOSB|Small Business</v>
      </c>
      <c r="N207" t="str">
        <f>"www.itadvets.com"</f>
        <v>www.itadvets.com</v>
      </c>
    </row>
    <row r="208" spans="1:14" x14ac:dyDescent="0.35">
      <c r="A208" t="s">
        <v>1058</v>
      </c>
      <c r="B208" t="s">
        <v>1057</v>
      </c>
      <c r="C208" s="2" t="s">
        <v>1059</v>
      </c>
      <c r="D208" t="str">
        <f>"CEO"</f>
        <v>CEO</v>
      </c>
      <c r="E208" s="1"/>
      <c r="F208" t="str">
        <f>"Avilamb Inc"</f>
        <v>Avilamb Inc</v>
      </c>
      <c r="G208" t="str">
        <f>"1-7033388974"</f>
        <v>1-7033388974</v>
      </c>
      <c r="H208" t="str">
        <f>"1100 N Glebe Rd"</f>
        <v>1100 N Glebe Rd</v>
      </c>
      <c r="I208" t="str">
        <f>"Suite 1010"</f>
        <v>Suite 1010</v>
      </c>
      <c r="J208" t="str">
        <f>"Arlington"</f>
        <v>Arlington</v>
      </c>
      <c r="K208" t="str">
        <f>"VA"</f>
        <v>VA</v>
      </c>
      <c r="L208" t="str">
        <f>"22201"</f>
        <v>22201</v>
      </c>
      <c r="M208" t="str">
        <f>"Small Business"</f>
        <v>Small Business</v>
      </c>
      <c r="N208" t="str">
        <f>"www.avilamb.com"</f>
        <v>www.avilamb.com</v>
      </c>
    </row>
    <row r="209" spans="1:14" x14ac:dyDescent="0.35">
      <c r="A209" t="s">
        <v>816</v>
      </c>
      <c r="B209" t="s">
        <v>815</v>
      </c>
      <c r="C209" s="2" t="s">
        <v>817</v>
      </c>
      <c r="D209" t="str">
        <f>"Portfolio Lead"</f>
        <v>Portfolio Lead</v>
      </c>
      <c r="E209" t="s">
        <v>23</v>
      </c>
      <c r="F209" t="str">
        <f>"ManTech"</f>
        <v>ManTech</v>
      </c>
      <c r="G209" t="str">
        <f>"1-7033711802"</f>
        <v>1-7033711802</v>
      </c>
      <c r="H209" t="str">
        <f>"1409 Campbell Ct NE"</f>
        <v>1409 Campbell Ct NE</v>
      </c>
      <c r="I209" t="str">
        <f>"  "</f>
        <v xml:space="preserve">  </v>
      </c>
      <c r="J209" t="str">
        <f>"Leesburg"</f>
        <v>Leesburg</v>
      </c>
      <c r="K209" t="str">
        <f>"VA"</f>
        <v>VA</v>
      </c>
      <c r="L209" t="str">
        <f>"20176"</f>
        <v>20176</v>
      </c>
      <c r="M209" t="str">
        <f>"Large Business"</f>
        <v>Large Business</v>
      </c>
      <c r="N209" t="str">
        <f>"mantech.com"</f>
        <v>mantech.com</v>
      </c>
    </row>
    <row r="210" spans="1:14" x14ac:dyDescent="0.35">
      <c r="A210" t="s">
        <v>1038</v>
      </c>
      <c r="B210" t="s">
        <v>1037</v>
      </c>
      <c r="C210" s="2" t="s">
        <v>1039</v>
      </c>
      <c r="D210" t="str">
        <f>"Strategic Growth Director"</f>
        <v>Strategic Growth Director</v>
      </c>
      <c r="E210" t="s">
        <v>22</v>
      </c>
      <c r="F210" t="str">
        <f>"Moser Consulting"</f>
        <v>Moser Consulting</v>
      </c>
      <c r="G210" t="str">
        <f>"1-7039898534"</f>
        <v>1-7039898534</v>
      </c>
      <c r="H210" t="str">
        <f>"17 Governors Court"</f>
        <v>17 Governors Court</v>
      </c>
      <c r="I210" t="str">
        <f>"  "</f>
        <v xml:space="preserve">  </v>
      </c>
      <c r="J210" t="str">
        <f>"Windsor Mill"</f>
        <v>Windsor Mill</v>
      </c>
      <c r="K210" t="str">
        <f>"MD"</f>
        <v>MD</v>
      </c>
      <c r="L210" t="str">
        <f>"21244"</f>
        <v>21244</v>
      </c>
      <c r="M210" t="str">
        <f>"Large Business"</f>
        <v>Large Business</v>
      </c>
      <c r="N210" t="str">
        <f>"moserit.com"</f>
        <v>moserit.com</v>
      </c>
    </row>
    <row r="211" spans="1:14" x14ac:dyDescent="0.35">
      <c r="A211" t="s">
        <v>85</v>
      </c>
      <c r="B211" t="s">
        <v>188</v>
      </c>
      <c r="C211" s="2" t="s">
        <v>698</v>
      </c>
      <c r="D211" t="str">
        <f>"SVP Growth"</f>
        <v>SVP Growth</v>
      </c>
      <c r="E211" s="1"/>
      <c r="F211" t="str">
        <f>"BDR Solutions LLC"</f>
        <v>BDR Solutions LLC</v>
      </c>
      <c r="G211" t="str">
        <f>"1-4434723059"</f>
        <v>1-4434723059</v>
      </c>
      <c r="H211" t="str">
        <f>"8403 Colesville Rd."</f>
        <v>8403 Colesville Rd.</v>
      </c>
      <c r="I211" t="str">
        <f>"Ste 1100"</f>
        <v>Ste 1100</v>
      </c>
      <c r="J211" t="str">
        <f>"Silver Spring"</f>
        <v>Silver Spring</v>
      </c>
      <c r="K211" t="str">
        <f>"MD"</f>
        <v>MD</v>
      </c>
      <c r="L211" t="str">
        <f>"20910"</f>
        <v>20910</v>
      </c>
      <c r="M211" t="str">
        <f>"8(A)|SDVOSB|VOSB|Small Business|Small Disadvantaged Business"</f>
        <v>8(A)|SDVOSB|VOSB|Small Business|Small Disadvantaged Business</v>
      </c>
      <c r="N211" t="str">
        <f>"bdrsolutionsllc.com"</f>
        <v>bdrsolutionsllc.com</v>
      </c>
    </row>
    <row r="212" spans="1:14" x14ac:dyDescent="0.35">
      <c r="A212" t="s">
        <v>850</v>
      </c>
      <c r="B212" t="s">
        <v>16</v>
      </c>
      <c r="C212" s="2" t="s">
        <v>851</v>
      </c>
      <c r="D212" t="str">
        <f>"Client Executive"</f>
        <v>Client Executive</v>
      </c>
      <c r="E212" s="1"/>
      <c r="F212" t="str">
        <f>"Epoch Concepts"</f>
        <v>Epoch Concepts</v>
      </c>
      <c r="G212" t="str">
        <f>"1-8054332791"</f>
        <v>1-8054332791</v>
      </c>
      <c r="H212" t="str">
        <f>"1510 W Canal Ct."</f>
        <v>1510 W Canal Ct.</v>
      </c>
      <c r="I212" t="str">
        <f>"Unit 1000"</f>
        <v>Unit 1000</v>
      </c>
      <c r="J212" t="str">
        <f>"Littleton"</f>
        <v>Littleton</v>
      </c>
      <c r="K212" t="str">
        <f>"CO"</f>
        <v>CO</v>
      </c>
      <c r="L212" t="str">
        <f>"80120"</f>
        <v>80120</v>
      </c>
      <c r="M212" t="str">
        <f>"SDVOSB"</f>
        <v>SDVOSB</v>
      </c>
      <c r="N212" t="str">
        <f>"www.epochconcepts.com"</f>
        <v>www.epochconcepts.com</v>
      </c>
    </row>
    <row r="213" spans="1:14" x14ac:dyDescent="0.35">
      <c r="A213" t="s">
        <v>392</v>
      </c>
      <c r="B213" t="s">
        <v>391</v>
      </c>
      <c r="C213" s="2" t="s">
        <v>576</v>
      </c>
      <c r="D213" t="str">
        <f>"am"</f>
        <v>am</v>
      </c>
      <c r="E213" s="1"/>
      <c r="F213" t="str">
        <f>"PALO"</f>
        <v>PALO</v>
      </c>
      <c r="G213" t="str">
        <f>"1-7038352713"</f>
        <v>1-7038352713</v>
      </c>
      <c r="H213" t="str">
        <f>"2403 stratton dr"</f>
        <v>2403 stratton dr</v>
      </c>
      <c r="I213" t="str">
        <f>"  "</f>
        <v xml:space="preserve">  </v>
      </c>
      <c r="J213" t="str">
        <f>"potomac"</f>
        <v>potomac</v>
      </c>
      <c r="K213" t="str">
        <f>"md"</f>
        <v>md</v>
      </c>
      <c r="L213" t="str">
        <f>"20854"</f>
        <v>20854</v>
      </c>
      <c r="M213" t="str">
        <f>"Large Business"</f>
        <v>Large Business</v>
      </c>
      <c r="N213" t="str">
        <f>""</f>
        <v/>
      </c>
    </row>
    <row r="214" spans="1:14" x14ac:dyDescent="0.35">
      <c r="A214" t="s">
        <v>961</v>
      </c>
      <c r="B214" t="s">
        <v>311</v>
      </c>
      <c r="C214" s="2" t="s">
        <v>962</v>
      </c>
      <c r="D214" t="str">
        <f>"Federal Account Executive"</f>
        <v>Federal Account Executive</v>
      </c>
      <c r="E214" s="1"/>
      <c r="F214" t="str">
        <f>"Paragon Micro"</f>
        <v>Paragon Micro</v>
      </c>
      <c r="G214" t="str">
        <f>"1-5712280551"</f>
        <v>1-5712280551</v>
      </c>
      <c r="H214" t="str">
        <f>"2 Corporate Drive, Suite 105"</f>
        <v>2 Corporate Drive, Suite 105</v>
      </c>
      <c r="I214" t="str">
        <f>"  "</f>
        <v xml:space="preserve">  </v>
      </c>
      <c r="J214" t="str">
        <f>"Lake Zurich"</f>
        <v>Lake Zurich</v>
      </c>
      <c r="K214" t="str">
        <f>"IL"</f>
        <v>IL</v>
      </c>
      <c r="L214" t="str">
        <f>"60047"</f>
        <v>60047</v>
      </c>
      <c r="M214" t="str">
        <f>"Small Business"</f>
        <v>Small Business</v>
      </c>
      <c r="N214" t="str">
        <f>"https://www.paragonmicro.com/"</f>
        <v>https://www.paragonmicro.com/</v>
      </c>
    </row>
    <row r="215" spans="1:14" x14ac:dyDescent="0.35">
      <c r="A215" t="s">
        <v>995</v>
      </c>
      <c r="B215" t="s">
        <v>994</v>
      </c>
      <c r="C215" s="2" t="s">
        <v>996</v>
      </c>
      <c r="D215" t="str">
        <f>"AE"</f>
        <v>AE</v>
      </c>
      <c r="E215" t="s">
        <v>22</v>
      </c>
      <c r="F215" t="str">
        <f>"Mattermost"</f>
        <v>Mattermost</v>
      </c>
      <c r="G215" t="str">
        <f>"1-2406763223"</f>
        <v>1-2406763223</v>
      </c>
      <c r="H215" t="str">
        <f>"25421 Lemon Tree Place"</f>
        <v>25421 Lemon Tree Place</v>
      </c>
      <c r="I215" t="str">
        <f>"  "</f>
        <v xml:space="preserve">  </v>
      </c>
      <c r="J215" t="str">
        <f>"Chantilly"</f>
        <v>Chantilly</v>
      </c>
      <c r="K215" t="str">
        <f>"Virginia"</f>
        <v>Virginia</v>
      </c>
      <c r="L215" t="str">
        <f>"20152"</f>
        <v>20152</v>
      </c>
      <c r="M215" t="str">
        <f>"Small Business"</f>
        <v>Small Business</v>
      </c>
      <c r="N215" t="str">
        <f>"www.mattermost.com"</f>
        <v>www.mattermost.com</v>
      </c>
    </row>
    <row r="216" spans="1:14" x14ac:dyDescent="0.35">
      <c r="A216" t="s">
        <v>978</v>
      </c>
      <c r="B216" t="s">
        <v>977</v>
      </c>
      <c r="C216" s="2" t="s">
        <v>979</v>
      </c>
      <c r="D216" t="str">
        <f>"Inside Sales Executive"</f>
        <v>Inside Sales Executive</v>
      </c>
      <c r="E216" s="1"/>
      <c r="F216" t="str">
        <f>"RHO Inc."</f>
        <v>RHO Inc.</v>
      </c>
      <c r="G216" t="str">
        <f>"1-12035286955"</f>
        <v>1-12035286955</v>
      </c>
      <c r="H216" t="str">
        <f>"507 Omni Dr"</f>
        <v>507 Omni Dr</v>
      </c>
      <c r="I216" t="str">
        <f>"  "</f>
        <v xml:space="preserve">  </v>
      </c>
      <c r="J216" t="str">
        <f>"Hillsborough"</f>
        <v>Hillsborough</v>
      </c>
      <c r="K216" t="str">
        <f>"New Jersey"</f>
        <v>New Jersey</v>
      </c>
      <c r="L216" t="str">
        <f>"08844"</f>
        <v>08844</v>
      </c>
      <c r="M216" t="str">
        <f>"WOSB"</f>
        <v>WOSB</v>
      </c>
      <c r="N216" t="str">
        <f>"https://rho-inc.com/"</f>
        <v>https://rho-inc.com/</v>
      </c>
    </row>
    <row r="217" spans="1:14" x14ac:dyDescent="0.35">
      <c r="A217" t="s">
        <v>29</v>
      </c>
      <c r="B217" t="s">
        <v>28</v>
      </c>
      <c r="C217" s="2" t="s">
        <v>30</v>
      </c>
      <c r="D217" t="str">
        <f>"Studio Director/Producer"</f>
        <v>Studio Director/Producer</v>
      </c>
      <c r="E217" s="1"/>
      <c r="F217" t="str">
        <f>"VA"</f>
        <v>VA</v>
      </c>
      <c r="G217" t="str">
        <f>"1-2406013645"</f>
        <v>1-2406013645</v>
      </c>
      <c r="H217" t="str">
        <f>"811 Vermont Ave"</f>
        <v>811 Vermont Ave</v>
      </c>
      <c r="I217" t="str">
        <f>"  "</f>
        <v xml:space="preserve">  </v>
      </c>
      <c r="J217" t="str">
        <f>"Washington"</f>
        <v>Washington</v>
      </c>
      <c r="K217" t="str">
        <f>"DC"</f>
        <v>DC</v>
      </c>
      <c r="L217" t="str">
        <f>"20571"</f>
        <v>20571</v>
      </c>
      <c r="M217" t="str">
        <f>"N/A"</f>
        <v>N/A</v>
      </c>
      <c r="N217" t="str">
        <f>""</f>
        <v/>
      </c>
    </row>
    <row r="218" spans="1:14" x14ac:dyDescent="0.35">
      <c r="A218" t="s">
        <v>62</v>
      </c>
      <c r="B218" t="s">
        <v>56</v>
      </c>
      <c r="C218" s="2" t="s">
        <v>63</v>
      </c>
      <c r="D218" t="str">
        <f>"Business Development"</f>
        <v>Business Development</v>
      </c>
      <c r="E218" s="1"/>
      <c r="F218" t="str">
        <f>"Total Cyber Solutions, LLC"</f>
        <v>Total Cyber Solutions, LLC</v>
      </c>
      <c r="G218" t="str">
        <f>"1-9729000410"</f>
        <v>1-9729000410</v>
      </c>
      <c r="H218" t="str">
        <f>"4031 University Drive, Ste. 100"</f>
        <v>4031 University Drive, Ste. 100</v>
      </c>
      <c r="I218" t="str">
        <f>"  "</f>
        <v xml:space="preserve">  </v>
      </c>
      <c r="J218" t="str">
        <f>"Fairfax"</f>
        <v>Fairfax</v>
      </c>
      <c r="K218" t="str">
        <f>"VA"</f>
        <v>VA</v>
      </c>
      <c r="L218" t="str">
        <f>"22020"</f>
        <v>22020</v>
      </c>
      <c r="M218" t="str">
        <f>"SDVOSB"</f>
        <v>SDVOSB</v>
      </c>
      <c r="N218" t="str">
        <f>"https://totalcyber.com/"</f>
        <v>https://totalcyber.com/</v>
      </c>
    </row>
    <row r="219" spans="1:14" x14ac:dyDescent="0.35">
      <c r="A219" t="s">
        <v>150</v>
      </c>
      <c r="B219" t="s">
        <v>149</v>
      </c>
      <c r="C219" s="2" t="s">
        <v>151</v>
      </c>
      <c r="D219" t="str">
        <f>"CEO"</f>
        <v>CEO</v>
      </c>
      <c r="E219" s="1"/>
      <c r="F219" t="str">
        <f>"SRL Total Source LLC"</f>
        <v>SRL Total Source LLC</v>
      </c>
      <c r="G219" t="str">
        <f>"1-703-967-4694"</f>
        <v>1-703-967-4694</v>
      </c>
      <c r="H219" t="str">
        <f>"83 High Street"</f>
        <v>83 High Street</v>
      </c>
      <c r="I219" t="str">
        <f>"Suite B"</f>
        <v>Suite B</v>
      </c>
      <c r="J219" t="str">
        <f>"Waldorf"</f>
        <v>Waldorf</v>
      </c>
      <c r="K219" t="str">
        <f>"MD"</f>
        <v>MD</v>
      </c>
      <c r="L219" t="str">
        <f>"20602"</f>
        <v>20602</v>
      </c>
      <c r="M219" t="str">
        <f>"SDVOSB|Small Business|Small Disadvantaged Business"</f>
        <v>SDVOSB|Small Business|Small Disadvantaged Business</v>
      </c>
      <c r="N219" t="str">
        <f>"www.srltotalsource.com"</f>
        <v>www.srltotalsource.com</v>
      </c>
    </row>
    <row r="220" spans="1:14" x14ac:dyDescent="0.35">
      <c r="A220" t="s">
        <v>1080</v>
      </c>
      <c r="B220" t="s">
        <v>38</v>
      </c>
      <c r="C220" s="2" t="s">
        <v>1081</v>
      </c>
      <c r="D220" t="str">
        <f>"Healthcare Public Sector Lead"</f>
        <v>Healthcare Public Sector Lead</v>
      </c>
      <c r="E220" s="1"/>
      <c r="F220" t="str">
        <f>"Red Hat"</f>
        <v>Red Hat</v>
      </c>
      <c r="G220" t="str">
        <f>"1-7039663302"</f>
        <v>1-7039663302</v>
      </c>
      <c r="H220" t="str">
        <f>"1600 International Drive"</f>
        <v>1600 International Drive</v>
      </c>
      <c r="I220" t="str">
        <f>"Suite 800"</f>
        <v>Suite 800</v>
      </c>
      <c r="J220" t="str">
        <f>"McLean"</f>
        <v>McLean</v>
      </c>
      <c r="K220" t="str">
        <f>"VA"</f>
        <v>VA</v>
      </c>
      <c r="L220" t="str">
        <f>"22102"</f>
        <v>22102</v>
      </c>
      <c r="M220" t="str">
        <f>"Large Business"</f>
        <v>Large Business</v>
      </c>
      <c r="N220" t="str">
        <f>"www.redhat.com"</f>
        <v>www.redhat.com</v>
      </c>
    </row>
    <row r="221" spans="1:14" x14ac:dyDescent="0.35">
      <c r="A221" t="s">
        <v>1052</v>
      </c>
      <c r="B221" t="s">
        <v>42</v>
      </c>
      <c r="C221" s="2" t="s">
        <v>1053</v>
      </c>
      <c r="D221" t="str">
        <f>"Business Analyst"</f>
        <v>Business Analyst</v>
      </c>
      <c r="E221" s="1"/>
      <c r="F221" t="str">
        <f>"BizFlow Corp."</f>
        <v>BizFlow Corp.</v>
      </c>
      <c r="G221" t="str">
        <f>"1-7036158015"</f>
        <v>1-7036158015</v>
      </c>
      <c r="H221" t="str">
        <f>"3141 Fairview Park Drive"</f>
        <v>3141 Fairview Park Drive</v>
      </c>
      <c r="I221" t="str">
        <f>"  "</f>
        <v xml:space="preserve">  </v>
      </c>
      <c r="J221" t="str">
        <f>"Falls Church"</f>
        <v>Falls Church</v>
      </c>
      <c r="K221" t="str">
        <f>"VA"</f>
        <v>VA</v>
      </c>
      <c r="L221" t="str">
        <f>"22042"</f>
        <v>22042</v>
      </c>
      <c r="M221" t="str">
        <f>"Small Business"</f>
        <v>Small Business</v>
      </c>
      <c r="N221" t="str">
        <f>""</f>
        <v/>
      </c>
    </row>
    <row r="222" spans="1:14" x14ac:dyDescent="0.35">
      <c r="A222" t="s">
        <v>554</v>
      </c>
      <c r="B222" t="s">
        <v>553</v>
      </c>
      <c r="C222" s="2" t="s">
        <v>555</v>
      </c>
      <c r="D222" t="str">
        <f>"Owner"</f>
        <v>Owner</v>
      </c>
      <c r="E222" s="1"/>
      <c r="F222" t="str">
        <f>"Lev Solutions LLC"</f>
        <v>Lev Solutions LLC</v>
      </c>
      <c r="G222" t="str">
        <f>"1-7326446355"</f>
        <v>1-7326446355</v>
      </c>
      <c r="H222" t="str">
        <f>"364 Mimosa Ct"</f>
        <v>364 Mimosa Ct</v>
      </c>
      <c r="I222" t="str">
        <f>"  "</f>
        <v xml:space="preserve">  </v>
      </c>
      <c r="J222" t="str">
        <f>"Toms River"</f>
        <v>Toms River</v>
      </c>
      <c r="K222" t="str">
        <f>"NJ"</f>
        <v>NJ</v>
      </c>
      <c r="L222" t="str">
        <f>"08753"</f>
        <v>08753</v>
      </c>
      <c r="M222" t="str">
        <f>"Small Business"</f>
        <v>Small Business</v>
      </c>
      <c r="N222" t="str">
        <f>""</f>
        <v/>
      </c>
    </row>
    <row r="223" spans="1:14" x14ac:dyDescent="0.35">
      <c r="A223" t="s">
        <v>333</v>
      </c>
      <c r="B223" t="s">
        <v>332</v>
      </c>
      <c r="C223" s="2" t="s">
        <v>334</v>
      </c>
      <c r="D223" t="str">
        <f>"COO"</f>
        <v>COO</v>
      </c>
      <c r="E223" s="1"/>
      <c r="F223" t="str">
        <f>"The Green Technology Group, LLC"</f>
        <v>The Green Technology Group, LLC</v>
      </c>
      <c r="G223" t="str">
        <f>"1-7654186236"</f>
        <v>1-7654186236</v>
      </c>
      <c r="H223" t="str">
        <f>"10619 Canterberry Rd"</f>
        <v>10619 Canterberry Rd</v>
      </c>
      <c r="I223" t="str">
        <f>"  "</f>
        <v xml:space="preserve">  </v>
      </c>
      <c r="J223" t="str">
        <f>"Fairfax Station"</f>
        <v>Fairfax Station</v>
      </c>
      <c r="K223" t="str">
        <f>"VA"</f>
        <v>VA</v>
      </c>
      <c r="L223" t="str">
        <f>"22039"</f>
        <v>22039</v>
      </c>
      <c r="M223" t="str">
        <f>"SDVOSB|VOSB|Small Business|Small Disadvantaged Business"</f>
        <v>SDVOSB|VOSB|Small Business|Small Disadvantaged Business</v>
      </c>
      <c r="N223" t="str">
        <f>"www.tgtgllc.com"</f>
        <v>www.tgtgllc.com</v>
      </c>
    </row>
    <row r="224" spans="1:14" x14ac:dyDescent="0.35">
      <c r="A224" t="s">
        <v>333</v>
      </c>
      <c r="B224" t="s">
        <v>457</v>
      </c>
      <c r="C224" s="2" t="s">
        <v>458</v>
      </c>
      <c r="D224" t="str">
        <f>"CEO"</f>
        <v>CEO</v>
      </c>
      <c r="E224" t="s">
        <v>34</v>
      </c>
      <c r="F224" t="str">
        <f>"Planned Systems International"</f>
        <v>Planned Systems International</v>
      </c>
      <c r="G224" t="str">
        <f>"1-(703) 933-3700"</f>
        <v>1-(703) 933-3700</v>
      </c>
      <c r="H224" t="str">
        <f>"3717 Columbia Pike"</f>
        <v>3717 Columbia Pike</v>
      </c>
      <c r="I224" t="str">
        <f>"  "</f>
        <v xml:space="preserve">  </v>
      </c>
      <c r="J224" t="str">
        <f>"Arlington"</f>
        <v>Arlington</v>
      </c>
      <c r="K224" t="str">
        <f>"VA"</f>
        <v>VA</v>
      </c>
      <c r="L224" t="str">
        <f>"20004"</f>
        <v>20004</v>
      </c>
      <c r="M224" t="str">
        <f>"Large Business"</f>
        <v>Large Business</v>
      </c>
      <c r="N224" t="str">
        <f>""</f>
        <v/>
      </c>
    </row>
    <row r="225" spans="1:14" x14ac:dyDescent="0.35">
      <c r="A225" t="s">
        <v>776</v>
      </c>
      <c r="B225" t="s">
        <v>775</v>
      </c>
      <c r="C225" s="2" t="s">
        <v>777</v>
      </c>
      <c r="D225" t="str">
        <f>"Ms."</f>
        <v>Ms.</v>
      </c>
      <c r="E225" s="1"/>
      <c r="F225" t="str">
        <f>"PingWind"</f>
        <v>PingWind</v>
      </c>
      <c r="G225" t="str">
        <f>"1-703-431-9643"</f>
        <v>1-703-431-9643</v>
      </c>
      <c r="H225" t="str">
        <f>"7630 Little River Tnpk"</f>
        <v>7630 Little River Tnpk</v>
      </c>
      <c r="I225" t="str">
        <f>"Ste #205"</f>
        <v>Ste #205</v>
      </c>
      <c r="J225" t="str">
        <f>"Annandale"</f>
        <v>Annandale</v>
      </c>
      <c r="K225" t="str">
        <f>"VA"</f>
        <v>VA</v>
      </c>
      <c r="L225" t="str">
        <f>"22003"</f>
        <v>22003</v>
      </c>
      <c r="M225" t="str">
        <f>"8(A)|SDVOSB|HUBZone|Small Business"</f>
        <v>8(A)|SDVOSB|HUBZone|Small Business</v>
      </c>
      <c r="N225" t="str">
        <f>"https://www.pingwind.com/"</f>
        <v>https://www.pingwind.com/</v>
      </c>
    </row>
    <row r="226" spans="1:14" x14ac:dyDescent="0.35">
      <c r="A226" t="s">
        <v>147</v>
      </c>
      <c r="B226" t="s">
        <v>146</v>
      </c>
      <c r="C226" s="2" t="s">
        <v>148</v>
      </c>
      <c r="D226" t="str">
        <f>"Capture Manager"</f>
        <v>Capture Manager</v>
      </c>
      <c r="E226" t="s">
        <v>22</v>
      </c>
      <c r="F226" t="str">
        <f>"Information Sciences Consulting, Inc. (ISCI)"</f>
        <v>Information Sciences Consulting, Inc. (ISCI)</v>
      </c>
      <c r="G226" t="str">
        <f>"1-12563160406"</f>
        <v>1-12563160406</v>
      </c>
      <c r="H226" t="str">
        <f>"10432 Balls Ford Rd, Suite 300"</f>
        <v>10432 Balls Ford Rd, Suite 300</v>
      </c>
      <c r="I226" t="str">
        <f>"  "</f>
        <v xml:space="preserve">  </v>
      </c>
      <c r="J226" t="str">
        <f>"Manassas"</f>
        <v>Manassas</v>
      </c>
      <c r="K226" t="str">
        <f>"VA"</f>
        <v>VA</v>
      </c>
      <c r="L226" t="str">
        <f>"20109"</f>
        <v>20109</v>
      </c>
      <c r="M226" t="str">
        <f>"SDVOSB|Small Business"</f>
        <v>SDVOSB|Small Business</v>
      </c>
      <c r="N226" t="str">
        <f>"www.teamisci.com"</f>
        <v>www.teamisci.com</v>
      </c>
    </row>
    <row r="227" spans="1:14" x14ac:dyDescent="0.35">
      <c r="A227" t="s">
        <v>588</v>
      </c>
      <c r="B227" t="s">
        <v>587</v>
      </c>
      <c r="C227" s="2" t="s">
        <v>589</v>
      </c>
      <c r="D227" t="str">
        <f>"Senior Capture Manager"</f>
        <v>Senior Capture Manager</v>
      </c>
      <c r="E227" t="s">
        <v>23</v>
      </c>
      <c r="F227" t="str">
        <f>"WWT"</f>
        <v>WWT</v>
      </c>
      <c r="G227" t="str">
        <f>"1-7034087214"</f>
        <v>1-7034087214</v>
      </c>
      <c r="H227" t="str">
        <f>"13508 Springhaven Drive"</f>
        <v>13508 Springhaven Drive</v>
      </c>
      <c r="I227" t="str">
        <f>"  "</f>
        <v xml:space="preserve">  </v>
      </c>
      <c r="J227" t="str">
        <f>"Fairfax"</f>
        <v>Fairfax</v>
      </c>
      <c r="K227" t="str">
        <f>"VA"</f>
        <v>VA</v>
      </c>
      <c r="L227" t="str">
        <f>"22033"</f>
        <v>22033</v>
      </c>
      <c r="M227" t="str">
        <f>"Large Business"</f>
        <v>Large Business</v>
      </c>
      <c r="N227" t="str">
        <f>"www.wwt.com"</f>
        <v>www.wwt.com</v>
      </c>
    </row>
    <row r="228" spans="1:14" x14ac:dyDescent="0.35">
      <c r="A228" t="s">
        <v>1024</v>
      </c>
      <c r="B228" t="s">
        <v>1023</v>
      </c>
      <c r="C228" s="2" t="s">
        <v>1025</v>
      </c>
      <c r="D228" t="str">
        <f>"Business Development Intern"</f>
        <v>Business Development Intern</v>
      </c>
      <c r="E228" t="s">
        <v>22</v>
      </c>
      <c r="F228" t="str">
        <f>"BEAT LLC"</f>
        <v>BEAT LLC</v>
      </c>
      <c r="G228" t="str">
        <f>"1-210-870-0739"</f>
        <v>1-210-870-0739</v>
      </c>
      <c r="H228" t="str">
        <f>"802 E. Quincy St"</f>
        <v>802 E. Quincy St</v>
      </c>
      <c r="I228" t="str">
        <f>"  "</f>
        <v xml:space="preserve">  </v>
      </c>
      <c r="J228" t="str">
        <f>"San Antonio"</f>
        <v>San Antonio</v>
      </c>
      <c r="K228" t="str">
        <f>"TX"</f>
        <v>TX</v>
      </c>
      <c r="L228" t="str">
        <f>"78215"</f>
        <v>78215</v>
      </c>
      <c r="M228" t="str">
        <f>"8(A)|Small Business"</f>
        <v>8(A)|Small Business</v>
      </c>
      <c r="N228" t="str">
        <f>"https://beatllc.com/"</f>
        <v>https://beatllc.com/</v>
      </c>
    </row>
    <row r="229" spans="1:14" ht="15.75" customHeight="1" x14ac:dyDescent="0.35">
      <c r="A229" t="s">
        <v>836</v>
      </c>
      <c r="B229" t="s">
        <v>835</v>
      </c>
      <c r="C229" s="2" t="s">
        <v>837</v>
      </c>
      <c r="D229" t="str">
        <f>"Vice President"</f>
        <v>Vice President</v>
      </c>
      <c r="E229" t="s">
        <v>34</v>
      </c>
      <c r="F229" t="str">
        <f>"GovCIO"</f>
        <v>GovCIO</v>
      </c>
      <c r="G229" t="str">
        <f>"1-5714202572"</f>
        <v>1-5714202572</v>
      </c>
      <c r="H229" t="str">
        <f>"4000 Legato Road"</f>
        <v>4000 Legato Road</v>
      </c>
      <c r="I229" t="str">
        <f>"  "</f>
        <v xml:space="preserve">  </v>
      </c>
      <c r="J229" t="str">
        <f>"Fairfax"</f>
        <v>Fairfax</v>
      </c>
      <c r="K229" t="str">
        <f>"VA"</f>
        <v>VA</v>
      </c>
      <c r="L229" t="str">
        <f>"22033"</f>
        <v>22033</v>
      </c>
      <c r="M229" t="str">
        <f>"Large Business"</f>
        <v>Large Business</v>
      </c>
      <c r="N229" t="str">
        <f>""</f>
        <v/>
      </c>
    </row>
    <row r="230" spans="1:14" x14ac:dyDescent="0.35">
      <c r="A230" t="s">
        <v>839</v>
      </c>
      <c r="B230" t="s">
        <v>838</v>
      </c>
      <c r="C230" s="2" t="s">
        <v>840</v>
      </c>
      <c r="D230" t="str">
        <f>"Technology Consultant"</f>
        <v>Technology Consultant</v>
      </c>
      <c r="E230" s="1"/>
      <c r="F230" t="str">
        <f>"JEM Computers Inc. d/b/a JEM Tech Group"</f>
        <v>JEM Computers Inc. d/b/a JEM Tech Group</v>
      </c>
      <c r="G230" t="str">
        <f>"1-5867833400"</f>
        <v>1-5867833400</v>
      </c>
      <c r="H230" t="str">
        <f>"23537 Lakepointe Drive"</f>
        <v>23537 Lakepointe Drive</v>
      </c>
      <c r="I230" t="str">
        <f>"  "</f>
        <v xml:space="preserve">  </v>
      </c>
      <c r="J230" t="str">
        <f>"Clinton Township"</f>
        <v>Clinton Township</v>
      </c>
      <c r="K230" t="str">
        <f>"Michigan"</f>
        <v>Michigan</v>
      </c>
      <c r="L230" t="str">
        <f>"48036"</f>
        <v>48036</v>
      </c>
      <c r="M230" t="str">
        <f>"WOSB"</f>
        <v>WOSB</v>
      </c>
      <c r="N230" t="str">
        <f>"www.jemtechgroup.com"</f>
        <v>www.jemtechgroup.com</v>
      </c>
    </row>
    <row r="231" spans="1:14" x14ac:dyDescent="0.35">
      <c r="A231" t="s">
        <v>989</v>
      </c>
      <c r="B231" t="s">
        <v>431</v>
      </c>
      <c r="C231" s="2" t="s">
        <v>990</v>
      </c>
      <c r="D231" t="str">
        <f>"Contracts Manager"</f>
        <v>Contracts Manager</v>
      </c>
      <c r="E231" t="s">
        <v>23</v>
      </c>
      <c r="F231" t="str">
        <f>"Booz Allen Hamilton"</f>
        <v>Booz Allen Hamilton</v>
      </c>
      <c r="G231" t="str">
        <f>"1-7329363539"</f>
        <v>1-7329363539</v>
      </c>
      <c r="H231" t="str">
        <f>"1-13 Christopher Way"</f>
        <v>1-13 Christopher Way</v>
      </c>
      <c r="I231" t="str">
        <f>"  "</f>
        <v xml:space="preserve">  </v>
      </c>
      <c r="J231" t="str">
        <f>"Eatontown"</f>
        <v>Eatontown</v>
      </c>
      <c r="K231" t="str">
        <f>"NJ"</f>
        <v>NJ</v>
      </c>
      <c r="L231" t="str">
        <f>"07724"</f>
        <v>07724</v>
      </c>
      <c r="M231" t="str">
        <f>"Large Business"</f>
        <v>Large Business</v>
      </c>
      <c r="N231" t="str">
        <f>"boozallen.com"</f>
        <v>boozallen.com</v>
      </c>
    </row>
    <row r="232" spans="1:14" x14ac:dyDescent="0.35">
      <c r="A232" t="s">
        <v>648</v>
      </c>
      <c r="B232" t="s">
        <v>861</v>
      </c>
      <c r="C232" s="2" t="s">
        <v>862</v>
      </c>
      <c r="D232" t="str">
        <f>"Senior Vice President"</f>
        <v>Senior Vice President</v>
      </c>
      <c r="E232" s="1"/>
      <c r="F232" t="str">
        <f>"MBL Technologies"</f>
        <v>MBL Technologies</v>
      </c>
      <c r="G232" t="str">
        <f>"1-2022764554"</f>
        <v>1-2022764554</v>
      </c>
      <c r="H232" t="str">
        <f>"1100 North Glebe Road"</f>
        <v>1100 North Glebe Road</v>
      </c>
      <c r="I232" t="str">
        <f>"Suite 1010"</f>
        <v>Suite 1010</v>
      </c>
      <c r="J232" t="str">
        <f>"Arlington"</f>
        <v>Arlington</v>
      </c>
      <c r="K232" t="str">
        <f>"Virginia"</f>
        <v>Virginia</v>
      </c>
      <c r="L232" t="str">
        <f>"22101"</f>
        <v>22101</v>
      </c>
      <c r="M232" t="str">
        <f>"SDVOSB|VOSB|Small Business"</f>
        <v>SDVOSB|VOSB|Small Business</v>
      </c>
      <c r="N232" t="str">
        <f>"https://www.mbltechnologies.com"</f>
        <v>https://www.mbltechnologies.com</v>
      </c>
    </row>
    <row r="233" spans="1:14" x14ac:dyDescent="0.35">
      <c r="A233" t="s">
        <v>648</v>
      </c>
      <c r="B233" t="s">
        <v>302</v>
      </c>
      <c r="C233" s="2" t="s">
        <v>649</v>
      </c>
      <c r="D233" t="str">
        <f>"VP Healthcare Alliances, Government"</f>
        <v>VP Healthcare Alliances, Government</v>
      </c>
      <c r="E233" t="s">
        <v>34</v>
      </c>
      <c r="F233" t="str">
        <f>"Ascom"</f>
        <v>Ascom</v>
      </c>
      <c r="G233" t="str">
        <f>"1-17742754485"</f>
        <v>1-17742754485</v>
      </c>
      <c r="H233" t="str">
        <f>"300 Perimeter Park Drive"</f>
        <v>300 Perimeter Park Drive</v>
      </c>
      <c r="I233" t="str">
        <f>"  "</f>
        <v xml:space="preserve">  </v>
      </c>
      <c r="J233" t="str">
        <f>"Morrisville"</f>
        <v>Morrisville</v>
      </c>
      <c r="K233" t="str">
        <f>"NC"</f>
        <v>NC</v>
      </c>
      <c r="L233" t="str">
        <f>"27560"</f>
        <v>27560</v>
      </c>
      <c r="M233" t="str">
        <f>"Large Business"</f>
        <v>Large Business</v>
      </c>
      <c r="N233" t="str">
        <f>"www.Ascom.com"</f>
        <v>www.Ascom.com</v>
      </c>
    </row>
    <row r="234" spans="1:14" x14ac:dyDescent="0.35">
      <c r="A234" t="s">
        <v>665</v>
      </c>
      <c r="B234" t="s">
        <v>664</v>
      </c>
      <c r="C234" s="2" t="s">
        <v>666</v>
      </c>
      <c r="D234" t="str">
        <f>"Consultant"</f>
        <v>Consultant</v>
      </c>
      <c r="E234" s="1"/>
      <c r="F234" t="str">
        <f>"BBC"</f>
        <v>BBC</v>
      </c>
      <c r="G234" t="str">
        <f>"1-3103836171"</f>
        <v>1-3103836171</v>
      </c>
      <c r="H234" t="str">
        <f>"1180 Turquoise St"</f>
        <v>1180 Turquoise St</v>
      </c>
      <c r="I234" t="str">
        <f>"  "</f>
        <v xml:space="preserve">  </v>
      </c>
      <c r="J234" t="str">
        <f>"San Diego"</f>
        <v>San Diego</v>
      </c>
      <c r="K234" t="str">
        <f>"California"</f>
        <v>California</v>
      </c>
      <c r="L234" t="str">
        <f>"92109"</f>
        <v>92109</v>
      </c>
      <c r="M234" t="str">
        <f>"WOSB"</f>
        <v>WOSB</v>
      </c>
      <c r="N234" t="str">
        <f>""</f>
        <v/>
      </c>
    </row>
    <row r="235" spans="1:14" x14ac:dyDescent="0.35">
      <c r="A235" t="s">
        <v>287</v>
      </c>
      <c r="B235" t="s">
        <v>286</v>
      </c>
      <c r="C235" s="2" t="s">
        <v>288</v>
      </c>
      <c r="D235" t="str">
        <f>"IBM Financing Specialist - Federal Market"</f>
        <v>IBM Financing Specialist - Federal Market</v>
      </c>
      <c r="E235" t="s">
        <v>23</v>
      </c>
      <c r="F235" t="str">
        <f>"IBM"</f>
        <v>IBM</v>
      </c>
      <c r="G235" t="str">
        <f>"1-9148435359"</f>
        <v>1-9148435359</v>
      </c>
      <c r="H235" t="str">
        <f>"2519 Fontaine drive"</f>
        <v>2519 Fontaine drive</v>
      </c>
      <c r="I235" t="str">
        <f>"Kissimmee"</f>
        <v>Kissimmee</v>
      </c>
      <c r="J235" t="str">
        <f>"Flórida"</f>
        <v>Flórida</v>
      </c>
      <c r="K235" t="str">
        <f>"34741"</f>
        <v>34741</v>
      </c>
      <c r="L235" t="str">
        <f>"United States"</f>
        <v>United States</v>
      </c>
      <c r="M235" t="str">
        <f>"Large Business"</f>
        <v>Large Business</v>
      </c>
      <c r="N235" t="str">
        <f>"Www.ibm.com"</f>
        <v>Www.ibm.com</v>
      </c>
    </row>
    <row r="236" spans="1:14" x14ac:dyDescent="0.35">
      <c r="A236" t="s">
        <v>57</v>
      </c>
      <c r="B236" t="s">
        <v>56</v>
      </c>
      <c r="C236" s="2" t="s">
        <v>58</v>
      </c>
      <c r="D236" t="str">
        <f>"Chief Growth Officier"</f>
        <v>Chief Growth Officier</v>
      </c>
      <c r="E236" t="s">
        <v>22</v>
      </c>
      <c r="F236" t="str">
        <f>"Blue Water Thinking"</f>
        <v>Blue Water Thinking</v>
      </c>
      <c r="G236" t="str">
        <f>"1-7038503069"</f>
        <v>1-7038503069</v>
      </c>
      <c r="H236" t="str">
        <f>"3507 36 th Street North"</f>
        <v>3507 36 th Street North</v>
      </c>
      <c r="I236" t="str">
        <f>"  "</f>
        <v xml:space="preserve">  </v>
      </c>
      <c r="J236" t="str">
        <f>"Arlington"</f>
        <v>Arlington</v>
      </c>
      <c r="K236" t="str">
        <f>"VA"</f>
        <v>VA</v>
      </c>
      <c r="L236" t="str">
        <f>"22207"</f>
        <v>22207</v>
      </c>
      <c r="M236" t="str">
        <f>"SDVOSB"</f>
        <v>SDVOSB</v>
      </c>
      <c r="N236" t="str">
        <f>"www.bw-thinking.com"</f>
        <v>www.bw-thinking.com</v>
      </c>
    </row>
    <row r="237" spans="1:14" x14ac:dyDescent="0.35">
      <c r="A237" t="s">
        <v>491</v>
      </c>
      <c r="B237" t="s">
        <v>490</v>
      </c>
      <c r="C237" s="2" t="s">
        <v>492</v>
      </c>
      <c r="D237" t="str">
        <f>"IBM Sr. Security Sales Specialist"</f>
        <v>IBM Sr. Security Sales Specialist</v>
      </c>
      <c r="E237" s="1"/>
      <c r="F237" t="str">
        <f>"IBM"</f>
        <v>IBM</v>
      </c>
      <c r="G237" t="str">
        <f>"1-(703)582-6769"</f>
        <v>1-(703)582-6769</v>
      </c>
      <c r="H237" t="str">
        <f>"2300 Dulles Station Blvd."</f>
        <v>2300 Dulles Station Blvd.</v>
      </c>
      <c r="I237" t="str">
        <f>"  "</f>
        <v xml:space="preserve">  </v>
      </c>
      <c r="J237" t="str">
        <f>"Herndon"</f>
        <v>Herndon</v>
      </c>
      <c r="K237" t="str">
        <f>"VA"</f>
        <v>VA</v>
      </c>
      <c r="L237" t="str">
        <f>"20171"</f>
        <v>20171</v>
      </c>
      <c r="M237" t="str">
        <f>"N/A"</f>
        <v>N/A</v>
      </c>
      <c r="N237" t="str">
        <f>"WWW.IBM.COM"</f>
        <v>WWW.IBM.COM</v>
      </c>
    </row>
    <row r="238" spans="1:14" x14ac:dyDescent="0.35">
      <c r="A238" t="s">
        <v>414</v>
      </c>
      <c r="B238" t="s">
        <v>413</v>
      </c>
      <c r="C238" s="2" t="s">
        <v>415</v>
      </c>
      <c r="D238" t="str">
        <f>"Sales"</f>
        <v>Sales</v>
      </c>
      <c r="E238" s="1"/>
      <c r="F238" t="str">
        <f>"Red Hat"</f>
        <v>Red Hat</v>
      </c>
      <c r="G238" t="str">
        <f>"1-703-795-4860"</f>
        <v>1-703-795-4860</v>
      </c>
      <c r="H238" t="str">
        <f>"12739 Oak Farms Drive"</f>
        <v>12739 Oak Farms Drive</v>
      </c>
      <c r="I238" t="str">
        <f>"  "</f>
        <v xml:space="preserve">  </v>
      </c>
      <c r="J238" t="str">
        <f>"Herndon"</f>
        <v>Herndon</v>
      </c>
      <c r="K238" t="str">
        <f>"VA"</f>
        <v>VA</v>
      </c>
      <c r="L238" t="str">
        <f>"20171"</f>
        <v>20171</v>
      </c>
      <c r="M238" t="str">
        <f>"Large Business"</f>
        <v>Large Business</v>
      </c>
      <c r="N238" t="str">
        <f>""</f>
        <v/>
      </c>
    </row>
    <row r="239" spans="1:14" x14ac:dyDescent="0.35">
      <c r="A239" t="s">
        <v>1012</v>
      </c>
      <c r="B239" t="s">
        <v>442</v>
      </c>
      <c r="C239" s="2" t="s">
        <v>1013</v>
      </c>
      <c r="D239" t="str">
        <f>"Comm Specialist"</f>
        <v>Comm Specialist</v>
      </c>
      <c r="E239" s="1"/>
      <c r="F239" t="str">
        <f>"LTS"</f>
        <v>LTS</v>
      </c>
      <c r="G239" t="str">
        <f>"1-2022076139"</f>
        <v>1-2022076139</v>
      </c>
      <c r="H239" t="str">
        <f>"243 Olympia St"</f>
        <v>243 Olympia St</v>
      </c>
      <c r="I239" t="str">
        <f>"  "</f>
        <v xml:space="preserve">  </v>
      </c>
      <c r="J239" t="str">
        <f>"Pittsburgh"</f>
        <v>Pittsburgh</v>
      </c>
      <c r="K239" t="str">
        <f>"Pa"</f>
        <v>Pa</v>
      </c>
      <c r="L239" t="str">
        <f>"15211"</f>
        <v>15211</v>
      </c>
      <c r="M239" t="str">
        <f>"Small Business"</f>
        <v>Small Business</v>
      </c>
      <c r="N239" t="str">
        <f>""</f>
        <v/>
      </c>
    </row>
    <row r="240" spans="1:14" x14ac:dyDescent="0.35">
      <c r="A240" t="s">
        <v>181</v>
      </c>
      <c r="B240" t="s">
        <v>180</v>
      </c>
      <c r="C240" s="2" t="s">
        <v>182</v>
      </c>
      <c r="D240" t="str">
        <f>"US Federal Sales"</f>
        <v>US Federal Sales</v>
      </c>
      <c r="E240" t="s">
        <v>23</v>
      </c>
      <c r="F240" t="str">
        <f>"IBM"</f>
        <v>IBM</v>
      </c>
      <c r="G240" t="str">
        <f>"1-2484252541"</f>
        <v>1-2484252541</v>
      </c>
      <c r="H240" t="str">
        <f>"91 North Main"</f>
        <v>91 North Main</v>
      </c>
      <c r="I240" t="str">
        <f>"  "</f>
        <v xml:space="preserve">  </v>
      </c>
      <c r="J240" t="str">
        <f>"Clarkston"</f>
        <v>Clarkston</v>
      </c>
      <c r="K240" t="str">
        <f>"MI"</f>
        <v>MI</v>
      </c>
      <c r="L240" t="str">
        <f>"48346"</f>
        <v>48346</v>
      </c>
      <c r="M240" t="str">
        <f>"Large Business"</f>
        <v>Large Business</v>
      </c>
      <c r="N240" t="str">
        <f>"www.ibm.com"</f>
        <v>www.ibm.com</v>
      </c>
    </row>
    <row r="241" spans="1:14" x14ac:dyDescent="0.35">
      <c r="A241" t="s">
        <v>310</v>
      </c>
      <c r="B241" t="s">
        <v>621</v>
      </c>
      <c r="C241" s="2" t="s">
        <v>622</v>
      </c>
      <c r="D241" t="str">
        <f>"Proposal Developer"</f>
        <v>Proposal Developer</v>
      </c>
      <c r="E241" t="s">
        <v>23</v>
      </c>
      <c r="F241" t="str">
        <f>"Palmetto GBA"</f>
        <v>Palmetto GBA</v>
      </c>
      <c r="G241" t="str">
        <f>"1-8432838827"</f>
        <v>1-8432838827</v>
      </c>
      <c r="H241" t="str">
        <f>"17 Technology Circle"</f>
        <v>17 Technology Circle</v>
      </c>
      <c r="I241" t="str">
        <f>"  "</f>
        <v xml:space="preserve">  </v>
      </c>
      <c r="J241" t="str">
        <f>"Columbia"</f>
        <v>Columbia</v>
      </c>
      <c r="K241" t="str">
        <f>"SC"</f>
        <v>SC</v>
      </c>
      <c r="L241" t="str">
        <f>"29203"</f>
        <v>29203</v>
      </c>
      <c r="M241" t="str">
        <f>"Large Business"</f>
        <v>Large Business</v>
      </c>
      <c r="N241" t="str">
        <f>""</f>
        <v/>
      </c>
    </row>
    <row r="242" spans="1:14" x14ac:dyDescent="0.35">
      <c r="A242" t="s">
        <v>310</v>
      </c>
      <c r="B242" t="s">
        <v>643</v>
      </c>
      <c r="C242" s="2" t="s">
        <v>644</v>
      </c>
      <c r="D242" t="str">
        <f>"Director"</f>
        <v>Director</v>
      </c>
      <c r="E242" s="1"/>
      <c r="F242" t="str">
        <f>"PingWind, Inc."</f>
        <v>PingWind, Inc.</v>
      </c>
      <c r="G242" t="str">
        <f>"1-7035097422"</f>
        <v>1-7035097422</v>
      </c>
      <c r="H242" t="str">
        <f>"7630 Little River Turnpike"</f>
        <v>7630 Little River Turnpike</v>
      </c>
      <c r="I242" t="str">
        <f>"Ste 205"</f>
        <v>Ste 205</v>
      </c>
      <c r="J242" t="str">
        <f>"Annandale"</f>
        <v>Annandale</v>
      </c>
      <c r="K242" t="str">
        <f>"VA"</f>
        <v>VA</v>
      </c>
      <c r="L242" t="str">
        <f>"22003"</f>
        <v>22003</v>
      </c>
      <c r="M242" t="str">
        <f>"SDVOSB|VOSB|HUBZone|Small Business"</f>
        <v>SDVOSB|VOSB|HUBZone|Small Business</v>
      </c>
      <c r="N242" t="str">
        <f>"www.pingwind.com"</f>
        <v>www.pingwind.com</v>
      </c>
    </row>
    <row r="243" spans="1:14" x14ac:dyDescent="0.35">
      <c r="A243" t="s">
        <v>114</v>
      </c>
      <c r="B243" t="s">
        <v>113</v>
      </c>
      <c r="C243" s="2" t="s">
        <v>115</v>
      </c>
      <c r="D243" t="str">
        <f>"Director"</f>
        <v>Director</v>
      </c>
      <c r="E243" t="s">
        <v>34</v>
      </c>
      <c r="F243" t="str">
        <f>"Grant Thornton Public Sector LLC"</f>
        <v>Grant Thornton Public Sector LLC</v>
      </c>
      <c r="G243" t="str">
        <f>"1-7036287335"</f>
        <v>1-7036287335</v>
      </c>
      <c r="H243" t="str">
        <f>"1001 Wilson Blvd"</f>
        <v>1001 Wilson Blvd</v>
      </c>
      <c r="I243" t="str">
        <f>"Suite 1500"</f>
        <v>Suite 1500</v>
      </c>
      <c r="J243" t="str">
        <f>"Arlington"</f>
        <v>Arlington</v>
      </c>
      <c r="K243" t="str">
        <f>"US-0-VA"</f>
        <v>US-0-VA</v>
      </c>
      <c r="L243" t="str">
        <f>"22203"</f>
        <v>22203</v>
      </c>
      <c r="M243" t="str">
        <f>"Large Business"</f>
        <v>Large Business</v>
      </c>
      <c r="N243" t="str">
        <f>"grantthornton.com"</f>
        <v>grantthornton.com</v>
      </c>
    </row>
    <row r="244" spans="1:14" x14ac:dyDescent="0.35">
      <c r="A244" t="s">
        <v>71</v>
      </c>
      <c r="B244" t="s">
        <v>70</v>
      </c>
      <c r="C244" s="2" t="s">
        <v>72</v>
      </c>
      <c r="D244" t="str">
        <f>"Client Solution Executive"</f>
        <v>Client Solution Executive</v>
      </c>
      <c r="E244" t="s">
        <v>23</v>
      </c>
      <c r="F244" t="str">
        <f>"AT&amp;T"</f>
        <v>AT&amp;T</v>
      </c>
      <c r="G244" t="str">
        <f>"1-17032233819"</f>
        <v>1-17032233819</v>
      </c>
      <c r="H244" t="str">
        <f>"3033 Chain Bridge Rd"</f>
        <v>3033 Chain Bridge Rd</v>
      </c>
      <c r="I244" t="str">
        <f>"  "</f>
        <v xml:space="preserve">  </v>
      </c>
      <c r="J244" t="str">
        <f>"Oakton"</f>
        <v>Oakton</v>
      </c>
      <c r="K244" t="str">
        <f>"va"</f>
        <v>va</v>
      </c>
      <c r="L244" t="str">
        <f>"22124"</f>
        <v>22124</v>
      </c>
      <c r="M244" t="str">
        <f>"Large Business"</f>
        <v>Large Business</v>
      </c>
      <c r="N244" t="str">
        <f>""</f>
        <v/>
      </c>
    </row>
    <row r="245" spans="1:14" x14ac:dyDescent="0.35">
      <c r="A245" t="s">
        <v>101</v>
      </c>
      <c r="B245" t="s">
        <v>100</v>
      </c>
      <c r="C245" s="2" t="s">
        <v>102</v>
      </c>
      <c r="D245" t="str">
        <f>"Program Manager"</f>
        <v>Program Manager</v>
      </c>
      <c r="E245" t="s">
        <v>23</v>
      </c>
      <c r="F245" t="str">
        <f>"Leidos"</f>
        <v>Leidos</v>
      </c>
      <c r="G245" t="str">
        <f>"1-8434145354"</f>
        <v>1-8434145354</v>
      </c>
      <c r="H245" t="str">
        <f>"2019 Summerton Ct."</f>
        <v>2019 Summerton Ct.</v>
      </c>
      <c r="I245" t="str">
        <f>"  "</f>
        <v xml:space="preserve">  </v>
      </c>
      <c r="J245" t="str">
        <f>"Pinopolis"</f>
        <v>Pinopolis</v>
      </c>
      <c r="K245" t="str">
        <f>"SC"</f>
        <v>SC</v>
      </c>
      <c r="L245" t="str">
        <f>"29469"</f>
        <v>29469</v>
      </c>
      <c r="M245" t="str">
        <f>"Large Business"</f>
        <v>Large Business</v>
      </c>
      <c r="N245" t="str">
        <f>"https://www.leidos.com/"</f>
        <v>https://www.leidos.com/</v>
      </c>
    </row>
    <row r="246" spans="1:14" x14ac:dyDescent="0.35">
      <c r="A246" t="s">
        <v>556</v>
      </c>
      <c r="B246" t="s">
        <v>413</v>
      </c>
      <c r="C246" s="2" t="s">
        <v>557</v>
      </c>
      <c r="D246" t="str">
        <f>"Director, Public Sector"</f>
        <v>Director, Public Sector</v>
      </c>
      <c r="E246" t="s">
        <v>34</v>
      </c>
      <c r="F246" t="str">
        <f>"Veracode"</f>
        <v>Veracode</v>
      </c>
      <c r="G246" t="str">
        <f>"1-3014610959"</f>
        <v>1-3014610959</v>
      </c>
      <c r="H246" t="str">
        <f>"65 Network Dr"</f>
        <v>65 Network Dr</v>
      </c>
      <c r="I246" t="str">
        <f>"  "</f>
        <v xml:space="preserve">  </v>
      </c>
      <c r="J246" t="str">
        <f>"Burlington"</f>
        <v>Burlington</v>
      </c>
      <c r="K246" t="str">
        <f>"Massachusetts"</f>
        <v>Massachusetts</v>
      </c>
      <c r="L246" t="str">
        <f>"01803"</f>
        <v>01803</v>
      </c>
      <c r="M246" t="str">
        <f>"Large Business"</f>
        <v>Large Business</v>
      </c>
      <c r="N246" t="str">
        <f>"www.veracode.com"</f>
        <v>www.veracode.com</v>
      </c>
    </row>
    <row r="247" spans="1:14" x14ac:dyDescent="0.35">
      <c r="A247" t="s">
        <v>939</v>
      </c>
      <c r="B247" t="s">
        <v>640</v>
      </c>
      <c r="C247" s="2" t="s">
        <v>940</v>
      </c>
      <c r="D247" t="str">
        <f>"VP Business Development"</f>
        <v>VP Business Development</v>
      </c>
      <c r="E247" s="1"/>
      <c r="F247" t="str">
        <f>"Dynamic Telecommunications Inc"</f>
        <v>Dynamic Telecommunications Inc</v>
      </c>
      <c r="G247" t="str">
        <f>"1-17036270890"</f>
        <v>1-17036270890</v>
      </c>
      <c r="H247" t="str">
        <f>"205 Technology Park Lane"</f>
        <v>205 Technology Park Lane</v>
      </c>
      <c r="I247" t="str">
        <f>"  "</f>
        <v xml:space="preserve">  </v>
      </c>
      <c r="J247" t="str">
        <f>"Fuquay Varina"</f>
        <v>Fuquay Varina</v>
      </c>
      <c r="K247" t="str">
        <f>"NC"</f>
        <v>NC</v>
      </c>
      <c r="L247" t="str">
        <f>"27526"</f>
        <v>27526</v>
      </c>
      <c r="M247" t="str">
        <f>"WOSB|Small Business"</f>
        <v>WOSB|Small Business</v>
      </c>
      <c r="N247" t="str">
        <f>"https://www.dynamictelecom.com/"</f>
        <v>https://www.dynamictelecom.com/</v>
      </c>
    </row>
    <row r="248" spans="1:14" x14ac:dyDescent="0.35">
      <c r="A248" t="s">
        <v>658</v>
      </c>
      <c r="B248" t="s">
        <v>657</v>
      </c>
      <c r="C248" s="2" t="s">
        <v>659</v>
      </c>
      <c r="D248" t="str">
        <f>"CEO"</f>
        <v>CEO</v>
      </c>
      <c r="E248" s="1"/>
      <c r="F248" t="str">
        <f>"C&amp;W Consulting LLC"</f>
        <v>C&amp;W Consulting LLC</v>
      </c>
      <c r="G248" t="str">
        <f>"1-7037893667"</f>
        <v>1-7037893667</v>
      </c>
      <c r="H248" t="str">
        <f>"1227 Old Stable Rd"</f>
        <v>1227 Old Stable Rd</v>
      </c>
      <c r="I248" t="str">
        <f>"  "</f>
        <v xml:space="preserve">  </v>
      </c>
      <c r="J248" t="str">
        <f>"McLean"</f>
        <v>McLean</v>
      </c>
      <c r="K248" t="str">
        <f>"VA"</f>
        <v>VA</v>
      </c>
      <c r="L248" t="str">
        <f>"22102"</f>
        <v>22102</v>
      </c>
      <c r="M248" t="str">
        <f>"SDVOSB"</f>
        <v>SDVOSB</v>
      </c>
      <c r="N248" t="str">
        <f>"www.cwconsulting.us"</f>
        <v>www.cwconsulting.us</v>
      </c>
    </row>
    <row r="249" spans="1:14" x14ac:dyDescent="0.35">
      <c r="A249" t="s">
        <v>971</v>
      </c>
      <c r="B249" t="s">
        <v>97</v>
      </c>
      <c r="C249" s="2" t="s">
        <v>972</v>
      </c>
      <c r="D249" t="str">
        <f>"Federal Leader"</f>
        <v>Federal Leader</v>
      </c>
      <c r="E249" t="s">
        <v>23</v>
      </c>
      <c r="F249" t="str">
        <f>"IBM"</f>
        <v>IBM</v>
      </c>
      <c r="G249" t="str">
        <f>"1-8564277950"</f>
        <v>1-8564277950</v>
      </c>
      <c r="H249" t="str">
        <f>"345 Wayland Rd"</f>
        <v>345 Wayland Rd</v>
      </c>
      <c r="I249" t="str">
        <f>"  "</f>
        <v xml:space="preserve">  </v>
      </c>
      <c r="J249" t="str">
        <f>"Cherry Hill"</f>
        <v>Cherry Hill</v>
      </c>
      <c r="K249" t="str">
        <f>"NJ"</f>
        <v>NJ</v>
      </c>
      <c r="L249" t="str">
        <f>"08034"</f>
        <v>08034</v>
      </c>
      <c r="M249" t="str">
        <f>"Large Business"</f>
        <v>Large Business</v>
      </c>
      <c r="N249" t="str">
        <f>""</f>
        <v/>
      </c>
    </row>
    <row r="250" spans="1:14" x14ac:dyDescent="0.35">
      <c r="A250" t="s">
        <v>678</v>
      </c>
      <c r="B250" t="s">
        <v>56</v>
      </c>
      <c r="C250" s="2" t="s">
        <v>679</v>
      </c>
      <c r="D250" t="str">
        <f>"VP"</f>
        <v>VP</v>
      </c>
      <c r="E250" s="1"/>
      <c r="F250" t="str">
        <f>"CALIBRE Systems"</f>
        <v>CALIBRE Systems</v>
      </c>
      <c r="G250" t="str">
        <f>"1-5712711805"</f>
        <v>1-5712711805</v>
      </c>
      <c r="H250" t="str">
        <f>"6361 Walker Lane"</f>
        <v>6361 Walker Lane</v>
      </c>
      <c r="I250" t="str">
        <f>"Suite 11000"</f>
        <v>Suite 11000</v>
      </c>
      <c r="J250" t="str">
        <f>"Alexandria"</f>
        <v>Alexandria</v>
      </c>
      <c r="K250" t="str">
        <f>"VA"</f>
        <v>VA</v>
      </c>
      <c r="L250" t="str">
        <f>"22310"</f>
        <v>22310</v>
      </c>
      <c r="M250" t="str">
        <f>"Large Business"</f>
        <v>Large Business</v>
      </c>
      <c r="N250" t="str">
        <f>"www.calibresys.com"</f>
        <v>www.calibresys.com</v>
      </c>
    </row>
    <row r="251" spans="1:14" x14ac:dyDescent="0.35">
      <c r="A251" t="s">
        <v>992</v>
      </c>
      <c r="B251" t="s">
        <v>224</v>
      </c>
      <c r="C251" s="2" t="s">
        <v>993</v>
      </c>
      <c r="D251" t="str">
        <f>"Consultant"</f>
        <v>Consultant</v>
      </c>
      <c r="E251" t="s">
        <v>23</v>
      </c>
      <c r="F251" t="str">
        <f>"CGI Federal"</f>
        <v>CGI Federal</v>
      </c>
      <c r="G251" t="str">
        <f>"1-616-481-3854"</f>
        <v>1-616-481-3854</v>
      </c>
      <c r="H251" t="str">
        <f>"1000 N Glebe Rd."</f>
        <v>1000 N Glebe Rd.</v>
      </c>
      <c r="I251" t="str">
        <f>"  "</f>
        <v xml:space="preserve">  </v>
      </c>
      <c r="J251" t="str">
        <f>"Arlington"</f>
        <v>Arlington</v>
      </c>
      <c r="K251" t="str">
        <f>"VA"</f>
        <v>VA</v>
      </c>
      <c r="L251" t="str">
        <f>"22201"</f>
        <v>22201</v>
      </c>
      <c r="M251" t="str">
        <f>"Large Business"</f>
        <v>Large Business</v>
      </c>
      <c r="N251" t="str">
        <f>""</f>
        <v/>
      </c>
    </row>
    <row r="252" spans="1:14" x14ac:dyDescent="0.35">
      <c r="A252" t="s">
        <v>312</v>
      </c>
      <c r="B252" t="s">
        <v>311</v>
      </c>
      <c r="C252" s="2" t="s">
        <v>313</v>
      </c>
      <c r="D252" t="str">
        <f>"Portfolio Director"</f>
        <v>Portfolio Director</v>
      </c>
      <c r="E252" t="s">
        <v>23</v>
      </c>
      <c r="F252" t="str">
        <f>"Thoughtworks"</f>
        <v>Thoughtworks</v>
      </c>
      <c r="G252" t="str">
        <f>"1-2152086923"</f>
        <v>1-2152086923</v>
      </c>
      <c r="H252" t="str">
        <f>"99 Madison Ave."</f>
        <v>99 Madison Ave.</v>
      </c>
      <c r="I252" t="str">
        <f>"  "</f>
        <v xml:space="preserve">  </v>
      </c>
      <c r="J252" t="str">
        <f>"New York"</f>
        <v>New York</v>
      </c>
      <c r="K252" t="str">
        <f>"PA"</f>
        <v>PA</v>
      </c>
      <c r="L252" t="str">
        <f>"10016"</f>
        <v>10016</v>
      </c>
      <c r="M252" t="str">
        <f>"Large Business"</f>
        <v>Large Business</v>
      </c>
      <c r="N252" t="str">
        <f>""</f>
        <v/>
      </c>
    </row>
    <row r="253" spans="1:14" x14ac:dyDescent="0.35">
      <c r="A253" t="s">
        <v>362</v>
      </c>
      <c r="B253" t="s">
        <v>311</v>
      </c>
      <c r="C253" s="2" t="s">
        <v>1048</v>
      </c>
      <c r="D253" t="str">
        <f>"Sr Mgr, Business Development"</f>
        <v>Sr Mgr, Business Development</v>
      </c>
      <c r="E253" t="s">
        <v>23</v>
      </c>
      <c r="F253" t="str">
        <f>"Leidos"</f>
        <v>Leidos</v>
      </c>
      <c r="G253" t="str">
        <f>"1-703.867.6873"</f>
        <v>1-703.867.6873</v>
      </c>
      <c r="H253" t="str">
        <f>"1750 Presidents St"</f>
        <v>1750 Presidents St</v>
      </c>
      <c r="I253" t="str">
        <f>"  "</f>
        <v xml:space="preserve">  </v>
      </c>
      <c r="J253" t="str">
        <f>"Reston"</f>
        <v>Reston</v>
      </c>
      <c r="K253" t="str">
        <f>"VA"</f>
        <v>VA</v>
      </c>
      <c r="L253" t="str">
        <f>"20190"</f>
        <v>20190</v>
      </c>
      <c r="M253" t="str">
        <f>"Large Business"</f>
        <v>Large Business</v>
      </c>
      <c r="N253" t="str">
        <f>""</f>
        <v/>
      </c>
    </row>
    <row r="254" spans="1:14" x14ac:dyDescent="0.35">
      <c r="A254" t="s">
        <v>362</v>
      </c>
      <c r="B254" t="s">
        <v>226</v>
      </c>
      <c r="C254" s="2" t="s">
        <v>363</v>
      </c>
      <c r="D254" t="str">
        <f>"Director Business Development"</f>
        <v>Director Business Development</v>
      </c>
      <c r="E254" t="s">
        <v>22</v>
      </c>
      <c r="F254" t="str">
        <f>"McNeal Professional Services"</f>
        <v>McNeal Professional Services</v>
      </c>
      <c r="G254" t="str">
        <f>"1-6784035018"</f>
        <v>1-6784035018</v>
      </c>
      <c r="H254" t="str">
        <f>"1595 Big Shanty Drive"</f>
        <v>1595 Big Shanty Drive</v>
      </c>
      <c r="I254" t="str">
        <f>"Suite 100"</f>
        <v>Suite 100</v>
      </c>
      <c r="J254" t="str">
        <f>"Kennesaw"</f>
        <v>Kennesaw</v>
      </c>
      <c r="K254" t="str">
        <f>"GA"</f>
        <v>GA</v>
      </c>
      <c r="L254" t="str">
        <f>"30144"</f>
        <v>30144</v>
      </c>
      <c r="M254" t="str">
        <f>"WOSB|Small Business"</f>
        <v>WOSB|Small Business</v>
      </c>
      <c r="N254" t="str">
        <f>"www.mcnealpro.com"</f>
        <v>www.mcnealpro.com</v>
      </c>
    </row>
    <row r="255" spans="1:14" x14ac:dyDescent="0.35">
      <c r="A255" t="s">
        <v>615</v>
      </c>
      <c r="B255" t="s">
        <v>423</v>
      </c>
      <c r="C255" s="2" t="s">
        <v>616</v>
      </c>
      <c r="D255" t="str">
        <f>"Managing Partner"</f>
        <v>Managing Partner</v>
      </c>
      <c r="E255" s="1"/>
      <c r="F255" t="str">
        <f>"Scout Concepts LLC"</f>
        <v>Scout Concepts LLC</v>
      </c>
      <c r="G255" t="str">
        <f>"1-7032178370"</f>
        <v>1-7032178370</v>
      </c>
      <c r="H255" t="str">
        <f>"804 Belgrove St."</f>
        <v>804 Belgrove St.</v>
      </c>
      <c r="I255" t="str">
        <f>"  "</f>
        <v xml:space="preserve">  </v>
      </c>
      <c r="J255" t="str">
        <f>"Crozet"</f>
        <v>Crozet</v>
      </c>
      <c r="K255" t="str">
        <f>"VA"</f>
        <v>VA</v>
      </c>
      <c r="L255" t="str">
        <f>"22932"</f>
        <v>22932</v>
      </c>
      <c r="M255" t="str">
        <f>"Small Business"</f>
        <v>Small Business</v>
      </c>
      <c r="N255" t="str">
        <f>"N/A"</f>
        <v>N/A</v>
      </c>
    </row>
    <row r="256" spans="1:14" x14ac:dyDescent="0.35">
      <c r="A256" t="s">
        <v>507</v>
      </c>
      <c r="B256" t="s">
        <v>506</v>
      </c>
      <c r="C256" s="2" t="s">
        <v>508</v>
      </c>
      <c r="D256" t="str">
        <f>"Account Manager"</f>
        <v>Account Manager</v>
      </c>
      <c r="E256" s="1"/>
      <c r="F256" t="str">
        <f>"RavenTek"</f>
        <v>RavenTek</v>
      </c>
      <c r="G256" t="str">
        <f>"1-9492434328"</f>
        <v>1-9492434328</v>
      </c>
      <c r="H256" t="str">
        <f>"13900 Lincoln Park Dr"</f>
        <v>13900 Lincoln Park Dr</v>
      </c>
      <c r="I256" t="str">
        <f>"STE 150"</f>
        <v>STE 150</v>
      </c>
      <c r="J256" t="str">
        <f>"Herndon"</f>
        <v>Herndon</v>
      </c>
      <c r="K256" t="str">
        <f>"VA"</f>
        <v>VA</v>
      </c>
      <c r="L256" t="str">
        <f>"20171"</f>
        <v>20171</v>
      </c>
      <c r="M256" t="str">
        <f>"VOSB|HUBZone|Small Business|Small Disadvantaged Business"</f>
        <v>VOSB|HUBZone|Small Business|Small Disadvantaged Business</v>
      </c>
      <c r="N256" t="str">
        <f>"https://www.raventek.com"</f>
        <v>https://www.raventek.com</v>
      </c>
    </row>
    <row r="257" spans="1:14" x14ac:dyDescent="0.35">
      <c r="A257" t="s">
        <v>215</v>
      </c>
      <c r="B257" t="s">
        <v>214</v>
      </c>
      <c r="C257" s="2" t="s">
        <v>216</v>
      </c>
      <c r="D257" t="str">
        <f>"Vice President"</f>
        <v>Vice President</v>
      </c>
      <c r="E257" s="1"/>
      <c r="F257" t="str">
        <f>"ECS Tech"</f>
        <v>ECS Tech</v>
      </c>
      <c r="G257" t="str">
        <f>"1-17032160653"</f>
        <v>1-17032160653</v>
      </c>
      <c r="H257" t="str">
        <f>"Prosperity Ave"</f>
        <v>Prosperity Ave</v>
      </c>
      <c r="I257" t="str">
        <f>"  "</f>
        <v xml:space="preserve">  </v>
      </c>
      <c r="J257" t="str">
        <f>"Fairfax"</f>
        <v>Fairfax</v>
      </c>
      <c r="K257" t="str">
        <f>"Virginia"</f>
        <v>Virginia</v>
      </c>
      <c r="L257" t="str">
        <f>"22034"</f>
        <v>22034</v>
      </c>
      <c r="M257" t="str">
        <f>"Large Business"</f>
        <v>Large Business</v>
      </c>
      <c r="N257" t="str">
        <f>"www.ecstech.com"</f>
        <v>www.ecstech.com</v>
      </c>
    </row>
    <row r="258" spans="1:14" x14ac:dyDescent="0.35">
      <c r="A258" t="s">
        <v>1076</v>
      </c>
      <c r="B258" t="s">
        <v>1075</v>
      </c>
      <c r="C258" s="2" t="s">
        <v>1077</v>
      </c>
      <c r="D258" t="str">
        <f>"Associate"</f>
        <v>Associate</v>
      </c>
      <c r="E258" s="1"/>
      <c r="F258" t="str">
        <f>"EMD Strategies"</f>
        <v>EMD Strategies</v>
      </c>
      <c r="G258" t="str">
        <f>"1-3307491259"</f>
        <v>1-3307491259</v>
      </c>
      <c r="H258" t="str">
        <f>"1621 N Kent St #1100"</f>
        <v>1621 N Kent St #1100</v>
      </c>
      <c r="I258" t="str">
        <f>"  "</f>
        <v xml:space="preserve">  </v>
      </c>
      <c r="J258" t="str">
        <f>"Arlington"</f>
        <v>Arlington</v>
      </c>
      <c r="K258" t="str">
        <f>"VA"</f>
        <v>VA</v>
      </c>
      <c r="L258" t="str">
        <f>"22209"</f>
        <v>22209</v>
      </c>
      <c r="M258" t="str">
        <f>"Small Business|Small Disadvantaged Business"</f>
        <v>Small Business|Small Disadvantaged Business</v>
      </c>
      <c r="N258" t="str">
        <f>"https://www.emdstrategies.com/"</f>
        <v>https://www.emdstrategies.com/</v>
      </c>
    </row>
    <row r="259" spans="1:14" x14ac:dyDescent="0.35">
      <c r="A259" t="s">
        <v>1001</v>
      </c>
      <c r="B259" t="s">
        <v>171</v>
      </c>
      <c r="C259" s="2" t="s">
        <v>1002</v>
      </c>
      <c r="D259" t="str">
        <f>"President"</f>
        <v>President</v>
      </c>
      <c r="E259" s="1"/>
      <c r="F259" t="str">
        <f>"Mellott &amp; Associates LLC"</f>
        <v>Mellott &amp; Associates LLC</v>
      </c>
      <c r="G259" t="str">
        <f>"1-5714555888"</f>
        <v>1-5714555888</v>
      </c>
      <c r="H259" t="str">
        <f>"5306 Hexagon Place"</f>
        <v>5306 Hexagon Place</v>
      </c>
      <c r="I259" t="str">
        <f>"  "</f>
        <v xml:space="preserve">  </v>
      </c>
      <c r="J259" t="str">
        <f>"Fairfax"</f>
        <v>Fairfax</v>
      </c>
      <c r="K259" t="str">
        <f>"VA"</f>
        <v>VA</v>
      </c>
      <c r="L259" t="str">
        <f>"22030"</f>
        <v>22030</v>
      </c>
      <c r="M259" t="str">
        <f>"SDVOSB|VOSB|Small Business"</f>
        <v>SDVOSB|VOSB|Small Business</v>
      </c>
      <c r="N259" t="str">
        <f>"https://mellottassociates.com/"</f>
        <v>https://mellottassociates.com/</v>
      </c>
    </row>
    <row r="260" spans="1:14" x14ac:dyDescent="0.35">
      <c r="A260" t="s">
        <v>1050</v>
      </c>
      <c r="B260" t="s">
        <v>1049</v>
      </c>
      <c r="C260" s="2" t="s">
        <v>1051</v>
      </c>
      <c r="D260" t="str">
        <f>"Program Director"</f>
        <v>Program Director</v>
      </c>
      <c r="E260" t="s">
        <v>23</v>
      </c>
      <c r="F260" t="str">
        <f>"Federal Civilian Sector"</f>
        <v>Federal Civilian Sector</v>
      </c>
      <c r="G260" t="str">
        <f>"1-17039198710"</f>
        <v>1-17039198710</v>
      </c>
      <c r="H260" t="str">
        <f>"2250 CORPORATE PARK DR"</f>
        <v>2250 CORPORATE PARK DR</v>
      </c>
      <c r="I260" t="str">
        <f>"  "</f>
        <v xml:space="preserve">  </v>
      </c>
      <c r="J260" t="str">
        <f>"HERNDON"</f>
        <v>HERNDON</v>
      </c>
      <c r="K260" t="str">
        <f>"Virginia"</f>
        <v>Virginia</v>
      </c>
      <c r="L260" t="str">
        <f>"20171"</f>
        <v>20171</v>
      </c>
      <c r="M260" t="str">
        <f>"Large Business"</f>
        <v>Large Business</v>
      </c>
      <c r="N260" t="str">
        <f>"www.mantech.com"</f>
        <v>www.mantech.com</v>
      </c>
    </row>
    <row r="261" spans="1:14" x14ac:dyDescent="0.35">
      <c r="A261" t="s">
        <v>408</v>
      </c>
      <c r="B261" t="s">
        <v>407</v>
      </c>
      <c r="C261" s="2" t="s">
        <v>409</v>
      </c>
      <c r="D261" t="str">
        <f>"Director, Sales"</f>
        <v>Director, Sales</v>
      </c>
      <c r="E261" t="s">
        <v>34</v>
      </c>
      <c r="F261" t="str">
        <f>"Red River"</f>
        <v>Red River</v>
      </c>
      <c r="G261" t="str">
        <f>"1-5126333003"</f>
        <v>1-5126333003</v>
      </c>
      <c r="H261" t="str">
        <f>"4631 14111 Park Meadow Dr."</f>
        <v>4631 14111 Park Meadow Dr.</v>
      </c>
      <c r="I261" t="str">
        <f>"  "</f>
        <v xml:space="preserve">  </v>
      </c>
      <c r="J261" t="str">
        <f>"Chantilly"</f>
        <v>Chantilly</v>
      </c>
      <c r="K261" t="str">
        <f>"VA"</f>
        <v>VA</v>
      </c>
      <c r="L261" t="str">
        <f>"20151"</f>
        <v>20151</v>
      </c>
      <c r="M261" t="str">
        <f>"Large Business"</f>
        <v>Large Business</v>
      </c>
      <c r="N261" t="str">
        <f>"www.redriver.com"</f>
        <v>www.redriver.com</v>
      </c>
    </row>
    <row r="262" spans="1:14" x14ac:dyDescent="0.35">
      <c r="A262" t="s">
        <v>408</v>
      </c>
      <c r="B262" t="s">
        <v>245</v>
      </c>
      <c r="C262" s="2" t="s">
        <v>987</v>
      </c>
      <c r="D262" t="str">
        <f>"Director of Proposals and Pipeline Management"</f>
        <v>Director of Proposals and Pipeline Management</v>
      </c>
      <c r="E262" s="1"/>
      <c r="F262" t="str">
        <f>"T and T Consulting Services, Inc."</f>
        <v>T and T Consulting Services, Inc.</v>
      </c>
      <c r="G262" t="str">
        <f>"1-240-654-0933"</f>
        <v>1-240-654-0933</v>
      </c>
      <c r="H262" t="str">
        <f>"431 Park Ave"</f>
        <v>431 Park Ave</v>
      </c>
      <c r="I262" t="str">
        <f>"Suite 201"</f>
        <v>Suite 201</v>
      </c>
      <c r="J262" t="str">
        <f>"Falls Church"</f>
        <v>Falls Church</v>
      </c>
      <c r="K262" t="str">
        <f>"VA"</f>
        <v>VA</v>
      </c>
      <c r="L262" t="str">
        <f>"22046"</f>
        <v>22046</v>
      </c>
      <c r="M262" t="str">
        <f>"WOSB|Small Business"</f>
        <v>WOSB|Small Business</v>
      </c>
      <c r="N262" t="str">
        <f>"www.tatcs.com"</f>
        <v>www.tatcs.com</v>
      </c>
    </row>
    <row r="263" spans="1:14" x14ac:dyDescent="0.35">
      <c r="A263" t="s">
        <v>800</v>
      </c>
      <c r="B263" t="s">
        <v>672</v>
      </c>
      <c r="C263" s="2" t="s">
        <v>801</v>
      </c>
      <c r="D263" t="str">
        <f>"Sr Account Technology Strategist"</f>
        <v>Sr Account Technology Strategist</v>
      </c>
      <c r="E263" s="1"/>
      <c r="F263" t="str">
        <f>"Microsoft"</f>
        <v>Microsoft</v>
      </c>
      <c r="G263" t="str">
        <f>"1-15089349768"</f>
        <v>1-15089349768</v>
      </c>
      <c r="H263" t="str">
        <f>"501 boylston st"</f>
        <v>501 boylston st</v>
      </c>
      <c r="I263" t="str">
        <f>"  "</f>
        <v xml:space="preserve">  </v>
      </c>
      <c r="J263" t="str">
        <f>"boston"</f>
        <v>boston</v>
      </c>
      <c r="K263" t="str">
        <f>"MA"</f>
        <v>MA</v>
      </c>
      <c r="L263" t="str">
        <f>"02199"</f>
        <v>02199</v>
      </c>
      <c r="M263" t="str">
        <f>"Large Business"</f>
        <v>Large Business</v>
      </c>
      <c r="N263" t="str">
        <f>""</f>
        <v/>
      </c>
    </row>
    <row r="264" spans="1:14" x14ac:dyDescent="0.35">
      <c r="A264" t="s">
        <v>38</v>
      </c>
      <c r="B264" t="s">
        <v>126</v>
      </c>
      <c r="C264" s="2" t="s">
        <v>997</v>
      </c>
      <c r="D264" t="str">
        <f>"Director, Business Development"</f>
        <v>Director, Business Development</v>
      </c>
      <c r="E264" s="1"/>
      <c r="F264" t="str">
        <f>"MDC Global Solutions LLC"</f>
        <v>MDC Global Solutions LLC</v>
      </c>
      <c r="G264" t="str">
        <f>"1-7037953818"</f>
        <v>1-7037953818</v>
      </c>
      <c r="H264" t="str">
        <f>"10440 Balls Ford Rd"</f>
        <v>10440 Balls Ford Rd</v>
      </c>
      <c r="I264" t="str">
        <f>"Suite 160"</f>
        <v>Suite 160</v>
      </c>
      <c r="J264" t="str">
        <f>"Manassas"</f>
        <v>Manassas</v>
      </c>
      <c r="K264" t="str">
        <f>"VA"</f>
        <v>VA</v>
      </c>
      <c r="L264" t="str">
        <f>"20109"</f>
        <v>20109</v>
      </c>
      <c r="M264" t="str">
        <f>"SDVOSB|VOSB|Small Business"</f>
        <v>SDVOSB|VOSB|Small Business</v>
      </c>
      <c r="N264" t="str">
        <f>"www.mdc-llc.com"</f>
        <v>www.mdc-llc.com</v>
      </c>
    </row>
    <row r="265" spans="1:14" x14ac:dyDescent="0.35">
      <c r="A265" t="s">
        <v>120</v>
      </c>
      <c r="B265" t="s">
        <v>119</v>
      </c>
      <c r="C265" s="2" t="s">
        <v>121</v>
      </c>
      <c r="D265" t="str">
        <f>"Research Admin"</f>
        <v>Research Admin</v>
      </c>
      <c r="E265" s="1"/>
      <c r="F265" t="str">
        <f>"Michelli Associates, Inc"</f>
        <v>Michelli Associates, Inc</v>
      </c>
      <c r="G265" t="str">
        <f>"1-7324932792"</f>
        <v>1-7324932792</v>
      </c>
      <c r="H265" t="str">
        <f>"3 Northwoods Road"</f>
        <v>3 Northwoods Road</v>
      </c>
      <c r="I265" t="str">
        <f>"  "</f>
        <v xml:space="preserve">  </v>
      </c>
      <c r="J265" t="str">
        <f>"Wayside"</f>
        <v>Wayside</v>
      </c>
      <c r="K265" t="str">
        <f>"NJ"</f>
        <v>NJ</v>
      </c>
      <c r="L265" t="str">
        <f>"07712"</f>
        <v>07712</v>
      </c>
      <c r="M265" t="str">
        <f>"N/A"</f>
        <v>N/A</v>
      </c>
      <c r="N265" t="str">
        <f>"https://michelliassociates.com/"</f>
        <v>https://michelliassociates.com/</v>
      </c>
    </row>
    <row r="266" spans="1:14" x14ac:dyDescent="0.35">
      <c r="A266" t="s">
        <v>120</v>
      </c>
      <c r="B266" t="s">
        <v>374</v>
      </c>
      <c r="C266" s="2" t="s">
        <v>814</v>
      </c>
      <c r="D266" t="str">
        <f>"President"</f>
        <v>President</v>
      </c>
      <c r="E266" s="1"/>
      <c r="F266" t="str">
        <f>"Michelli Associates, Inc."</f>
        <v>Michelli Associates, Inc.</v>
      </c>
      <c r="G266" t="str">
        <f>"1-7324932792"</f>
        <v>1-7324932792</v>
      </c>
      <c r="H266" t="str">
        <f>"3 Northwoods Road"</f>
        <v>3 Northwoods Road</v>
      </c>
      <c r="I266" t="str">
        <f>"  "</f>
        <v xml:space="preserve">  </v>
      </c>
      <c r="J266" t="str">
        <f>"Wayside"</f>
        <v>Wayside</v>
      </c>
      <c r="K266" t="str">
        <f>"NJ"</f>
        <v>NJ</v>
      </c>
      <c r="L266" t="str">
        <f>"07712-2513"</f>
        <v>07712-2513</v>
      </c>
      <c r="M266" t="str">
        <f>"N/A"</f>
        <v>N/A</v>
      </c>
      <c r="N266" t="str">
        <f>"https://michelliassociates.com/"</f>
        <v>https://michelliassociates.com/</v>
      </c>
    </row>
    <row r="267" spans="1:14" x14ac:dyDescent="0.35">
      <c r="A267" t="s">
        <v>524</v>
      </c>
      <c r="B267" t="s">
        <v>523</v>
      </c>
      <c r="C267" s="2" t="s">
        <v>525</v>
      </c>
      <c r="D267" t="str">
        <f>"Senior Vice President"</f>
        <v>Senior Vice President</v>
      </c>
      <c r="E267" t="s">
        <v>34</v>
      </c>
      <c r="F267" t="str">
        <f>"CVP"</f>
        <v>CVP</v>
      </c>
      <c r="G267" t="str">
        <f>"1-9207377834"</f>
        <v>1-9207377834</v>
      </c>
      <c r="H267" t="str">
        <f>"805 15th St NW"</f>
        <v>805 15th St NW</v>
      </c>
      <c r="I267" t="str">
        <f>"Ste 910"</f>
        <v>Ste 910</v>
      </c>
      <c r="J267" t="str">
        <f>"Washington"</f>
        <v>Washington</v>
      </c>
      <c r="K267" t="str">
        <f>"DC"</f>
        <v>DC</v>
      </c>
      <c r="L267" t="str">
        <f>"20005"</f>
        <v>20005</v>
      </c>
      <c r="M267" t="str">
        <f>"Large Business"</f>
        <v>Large Business</v>
      </c>
      <c r="N267" t="str">
        <f>"cvpcorp.com"</f>
        <v>cvpcorp.com</v>
      </c>
    </row>
    <row r="268" spans="1:14" x14ac:dyDescent="0.35">
      <c r="A268" t="s">
        <v>662</v>
      </c>
      <c r="B268" t="s">
        <v>464</v>
      </c>
      <c r="C268" s="2" t="s">
        <v>663</v>
      </c>
      <c r="D268" t="str">
        <f>"Senior Solutions Manager"</f>
        <v>Senior Solutions Manager</v>
      </c>
      <c r="E268" s="1"/>
      <c r="F268" t="str">
        <f>"Aptive Headquarters"</f>
        <v>Aptive Headquarters</v>
      </c>
      <c r="G268" t="str">
        <f>"1-2672312174"</f>
        <v>1-2672312174</v>
      </c>
      <c r="H268" t="str">
        <f>"110 North Royal Street"</f>
        <v>110 North Royal Street</v>
      </c>
      <c r="I268" t="str">
        <f>"Suite 400"</f>
        <v>Suite 400</v>
      </c>
      <c r="J268" t="str">
        <f>"Alexandrea"</f>
        <v>Alexandrea</v>
      </c>
      <c r="K268" t="str">
        <f>"VA"</f>
        <v>VA</v>
      </c>
      <c r="L268" t="str">
        <f>"22314"</f>
        <v>22314</v>
      </c>
      <c r="M268" t="str">
        <f>"SDVOSB"</f>
        <v>SDVOSB</v>
      </c>
      <c r="N268" t="str">
        <f>""</f>
        <v/>
      </c>
    </row>
    <row r="269" spans="1:14" x14ac:dyDescent="0.35">
      <c r="A269" t="s">
        <v>869</v>
      </c>
      <c r="B269" t="s">
        <v>311</v>
      </c>
      <c r="C269" s="2" t="s">
        <v>870</v>
      </c>
      <c r="D269" t="str">
        <f>"Director"</f>
        <v>Director</v>
      </c>
      <c r="E269" s="1"/>
      <c r="F269" t="str">
        <f>"CGI Federal"</f>
        <v>CGI Federal</v>
      </c>
      <c r="G269" t="str">
        <f>"1-3013255510"</f>
        <v>1-3013255510</v>
      </c>
      <c r="H269" t="str">
        <f>"1000 Glebe RD"</f>
        <v>1000 Glebe RD</v>
      </c>
      <c r="I269" t="str">
        <f>"  "</f>
        <v xml:space="preserve">  </v>
      </c>
      <c r="J269" t="str">
        <f>"Ballston"</f>
        <v>Ballston</v>
      </c>
      <c r="K269" t="str">
        <f>"VA"</f>
        <v>VA</v>
      </c>
      <c r="L269" t="str">
        <f>"20190"</f>
        <v>20190</v>
      </c>
      <c r="M269" t="str">
        <f>"Large Business"</f>
        <v>Large Business</v>
      </c>
      <c r="N269" t="str">
        <f>""</f>
        <v/>
      </c>
    </row>
    <row r="270" spans="1:14" x14ac:dyDescent="0.35">
      <c r="A270" t="s">
        <v>691</v>
      </c>
      <c r="B270" t="s">
        <v>690</v>
      </c>
      <c r="C270" s="2" t="s">
        <v>692</v>
      </c>
      <c r="D270" t="str">
        <f>"VP Government Solutions"</f>
        <v>VP Government Solutions</v>
      </c>
      <c r="E270" t="s">
        <v>23</v>
      </c>
      <c r="F270" t="str">
        <f>"Philips"</f>
        <v>Philips</v>
      </c>
      <c r="G270" t="str">
        <f>"1-(561) 617-4790"</f>
        <v>1-(561) 617-4790</v>
      </c>
      <c r="H270" t="str">
        <f>"1050 K Street NW"</f>
        <v>1050 K Street NW</v>
      </c>
      <c r="I270" t="str">
        <f>"Suite 900"</f>
        <v>Suite 900</v>
      </c>
      <c r="J270" t="str">
        <f>"Washington"</f>
        <v>Washington</v>
      </c>
      <c r="K270" t="str">
        <f>"DC"</f>
        <v>DC</v>
      </c>
      <c r="L270" t="str">
        <f>"20001"</f>
        <v>20001</v>
      </c>
      <c r="M270" t="str">
        <f>"Large Business"</f>
        <v>Large Business</v>
      </c>
      <c r="N270" t="str">
        <f>""</f>
        <v/>
      </c>
    </row>
    <row r="271" spans="1:14" x14ac:dyDescent="0.35">
      <c r="A271" t="s">
        <v>80</v>
      </c>
      <c r="B271" t="s">
        <v>79</v>
      </c>
      <c r="C271" s="2" t="s">
        <v>81</v>
      </c>
      <c r="D271" t="str">
        <f>"Managing Partner"</f>
        <v>Managing Partner</v>
      </c>
      <c r="E271" s="1"/>
      <c r="F271" t="str">
        <f>"CVPS"</f>
        <v>CVPS</v>
      </c>
      <c r="G271" t="str">
        <f>"1-9315515602"</f>
        <v>1-9315515602</v>
      </c>
      <c r="H271" t="str">
        <f>"7630 Little River Turnpike"</f>
        <v>7630 Little River Turnpike</v>
      </c>
      <c r="I271" t="str">
        <f>"Suite 205"</f>
        <v>Suite 205</v>
      </c>
      <c r="J271" t="str">
        <f>"Annandale"</f>
        <v>Annandale</v>
      </c>
      <c r="K271" t="str">
        <f>"VA"</f>
        <v>VA</v>
      </c>
      <c r="L271" t="str">
        <f>"22032"</f>
        <v>22032</v>
      </c>
      <c r="M271" t="str">
        <f>"SDVOSB|VOSB|HUBZone|Small Business"</f>
        <v>SDVOSB|VOSB|HUBZone|Small Business</v>
      </c>
      <c r="N271" t="str">
        <f>""</f>
        <v/>
      </c>
    </row>
    <row r="272" spans="1:14" x14ac:dyDescent="0.35">
      <c r="A272" t="s">
        <v>472</v>
      </c>
      <c r="B272" t="s">
        <v>471</v>
      </c>
      <c r="C272" s="2" t="s">
        <v>473</v>
      </c>
      <c r="D272" t="str">
        <f>"Capture Manager"</f>
        <v>Capture Manager</v>
      </c>
      <c r="E272" s="1"/>
      <c r="F272" t="str">
        <f>"Aptive Resources LLC"</f>
        <v>Aptive Resources LLC</v>
      </c>
      <c r="G272" t="str">
        <f>"1-5404507611"</f>
        <v>1-5404507611</v>
      </c>
      <c r="H272" t="str">
        <f>"110 N Royal St"</f>
        <v>110 N Royal St</v>
      </c>
      <c r="I272" t="str">
        <f>"STE 400"</f>
        <v>STE 400</v>
      </c>
      <c r="J272" t="str">
        <f>"Alexandria"</f>
        <v>Alexandria</v>
      </c>
      <c r="K272" t="str">
        <f>"VIRGINIA"</f>
        <v>VIRGINIA</v>
      </c>
      <c r="L272" t="str">
        <f>"22314"</f>
        <v>22314</v>
      </c>
      <c r="M272" t="str">
        <f>"SDVOSB|WOSB"</f>
        <v>SDVOSB|WOSB</v>
      </c>
      <c r="N272" t="str">
        <f>"https://www.aptiveresources.com/"</f>
        <v>https://www.aptiveresources.com/</v>
      </c>
    </row>
    <row r="273" spans="1:14" x14ac:dyDescent="0.35">
      <c r="A273" t="s">
        <v>321</v>
      </c>
      <c r="B273" t="s">
        <v>194</v>
      </c>
      <c r="C273" s="2" t="s">
        <v>322</v>
      </c>
      <c r="D273" t="str">
        <f>"Director, Federal Healthcare"</f>
        <v>Director, Federal Healthcare</v>
      </c>
      <c r="E273" t="s">
        <v>23</v>
      </c>
      <c r="F273" t="str">
        <f>"VMware"</f>
        <v>VMware</v>
      </c>
      <c r="G273" t="str">
        <f>"1-7039893282"</f>
        <v>1-7039893282</v>
      </c>
      <c r="H273" t="str">
        <f>"5928 5th Street North"</f>
        <v>5928 5th Street North</v>
      </c>
      <c r="I273" t="str">
        <f>"  "</f>
        <v xml:space="preserve">  </v>
      </c>
      <c r="J273" t="str">
        <f>"Arlington"</f>
        <v>Arlington</v>
      </c>
      <c r="K273" t="str">
        <f>"Virginia"</f>
        <v>Virginia</v>
      </c>
      <c r="L273" t="str">
        <f>"22902"</f>
        <v>22902</v>
      </c>
      <c r="M273" t="str">
        <f>"Large Business"</f>
        <v>Large Business</v>
      </c>
      <c r="N273" t="str">
        <f>""</f>
        <v/>
      </c>
    </row>
    <row r="274" spans="1:14" x14ac:dyDescent="0.35">
      <c r="A274" t="s">
        <v>731</v>
      </c>
      <c r="B274" t="s">
        <v>730</v>
      </c>
      <c r="C274" s="2" t="s">
        <v>732</v>
      </c>
      <c r="D274" t="str">
        <f>"Consultant"</f>
        <v>Consultant</v>
      </c>
      <c r="E274" s="1"/>
      <c r="F274" t="str">
        <f>"CM2 GRP"</f>
        <v>CM2 GRP</v>
      </c>
      <c r="G274" t="str">
        <f>"1-5712831139"</f>
        <v>1-5712831139</v>
      </c>
      <c r="H274" t="str">
        <f>"14400 Woodwill Lane"</f>
        <v>14400 Woodwill Lane</v>
      </c>
      <c r="I274" t="str">
        <f>"  "</f>
        <v xml:space="preserve">  </v>
      </c>
      <c r="J274" t="str">
        <f>"GAINESVILLE"</f>
        <v>GAINESVILLE</v>
      </c>
      <c r="K274" t="str">
        <f>"VA"</f>
        <v>VA</v>
      </c>
      <c r="L274" t="str">
        <f>"20155"</f>
        <v>20155</v>
      </c>
      <c r="M274" t="str">
        <f>"WOSB|Small Business"</f>
        <v>WOSB|Small Business</v>
      </c>
      <c r="N274" t="str">
        <f>""</f>
        <v/>
      </c>
    </row>
    <row r="275" spans="1:14" x14ac:dyDescent="0.35">
      <c r="A275" t="s">
        <v>598</v>
      </c>
      <c r="B275" t="s">
        <v>597</v>
      </c>
      <c r="C275" s="2" t="s">
        <v>599</v>
      </c>
      <c r="D275" t="str">
        <f>"BD Director"</f>
        <v>BD Director</v>
      </c>
      <c r="E275" t="s">
        <v>23</v>
      </c>
      <c r="F275" t="str">
        <f>"Anthem/National Government Services"</f>
        <v>Anthem/National Government Services</v>
      </c>
      <c r="G275" t="str">
        <f>"1-2023028619"</f>
        <v>1-2023028619</v>
      </c>
      <c r="H275" t="str">
        <f>"105 Allman Way SW"</f>
        <v>105 Allman Way SW</v>
      </c>
      <c r="I275" t="str">
        <f>"  "</f>
        <v xml:space="preserve">  </v>
      </c>
      <c r="J275" t="str">
        <f>"Leesburg"</f>
        <v>Leesburg</v>
      </c>
      <c r="K275" t="str">
        <f>"VA"</f>
        <v>VA</v>
      </c>
      <c r="L275" t="str">
        <f>"20175"</f>
        <v>20175</v>
      </c>
      <c r="M275" t="str">
        <f>"Large Business"</f>
        <v>Large Business</v>
      </c>
      <c r="N275" t="str">
        <f>""</f>
        <v/>
      </c>
    </row>
    <row r="276" spans="1:14" x14ac:dyDescent="0.35">
      <c r="A276" t="s">
        <v>906</v>
      </c>
      <c r="B276" t="s">
        <v>855</v>
      </c>
      <c r="C276" s="2" t="s">
        <v>907</v>
      </c>
      <c r="D276" t="str">
        <f>"Major Account Manager"</f>
        <v>Major Account Manager</v>
      </c>
      <c r="E276" t="s">
        <v>23</v>
      </c>
      <c r="F276" t="str">
        <f>"Fortinet"</f>
        <v>Fortinet</v>
      </c>
      <c r="G276" t="str">
        <f>"1-4102152047"</f>
        <v>1-4102152047</v>
      </c>
      <c r="H276" t="str">
        <f>"1986 Barley Rd"</f>
        <v>1986 Barley Rd</v>
      </c>
      <c r="I276" t="str">
        <f>"  "</f>
        <v xml:space="preserve">  </v>
      </c>
      <c r="J276" t="str">
        <f>"Marriottsville"</f>
        <v>Marriottsville</v>
      </c>
      <c r="K276" t="str">
        <f>"MD"</f>
        <v>MD</v>
      </c>
      <c r="L276" t="str">
        <f>"21104"</f>
        <v>21104</v>
      </c>
      <c r="M276" t="str">
        <f>"Large Business"</f>
        <v>Large Business</v>
      </c>
      <c r="N276" t="str">
        <f>"www.fortinet.com"</f>
        <v>www.fortinet.com</v>
      </c>
    </row>
    <row r="277" spans="1:14" x14ac:dyDescent="0.35">
      <c r="A277" t="s">
        <v>234</v>
      </c>
      <c r="B277" t="s">
        <v>116</v>
      </c>
      <c r="C277" s="2" t="s">
        <v>235</v>
      </c>
      <c r="D277" t="str">
        <f>"Public Sector Health Lead"</f>
        <v>Public Sector Health Lead</v>
      </c>
      <c r="E277" t="s">
        <v>23</v>
      </c>
      <c r="F277" t="str">
        <f>"Confluent"</f>
        <v>Confluent</v>
      </c>
      <c r="G277" t="str">
        <f>"1-3014718363"</f>
        <v>1-3014718363</v>
      </c>
      <c r="H277" t="str">
        <f>"1723 Oakley Pl"</f>
        <v>1723 Oakley Pl</v>
      </c>
      <c r="I277" t="str">
        <f>"  "</f>
        <v xml:space="preserve">  </v>
      </c>
      <c r="J277" t="str">
        <f>"Annapolis"</f>
        <v>Annapolis</v>
      </c>
      <c r="K277" t="str">
        <f>"MD"</f>
        <v>MD</v>
      </c>
      <c r="L277" t="str">
        <f>"21409"</f>
        <v>21409</v>
      </c>
      <c r="M277" t="str">
        <f>"Large Business"</f>
        <v>Large Business</v>
      </c>
      <c r="N277" t="str">
        <f>"confluent.io"</f>
        <v>confluent.io</v>
      </c>
    </row>
    <row r="278" spans="1:14" x14ac:dyDescent="0.35">
      <c r="A278" t="s">
        <v>946</v>
      </c>
      <c r="B278" t="s">
        <v>311</v>
      </c>
      <c r="C278" s="2" t="s">
        <v>947</v>
      </c>
      <c r="D278" t="str">
        <f>"Business Development Director"</f>
        <v>Business Development Director</v>
      </c>
      <c r="E278" s="1"/>
      <c r="F278" t="str">
        <f>"Accenture"</f>
        <v>Accenture</v>
      </c>
      <c r="G278" t="str">
        <f>"1-7032163700"</f>
        <v>1-7032163700</v>
      </c>
      <c r="H278" t="str">
        <f>"800 North Glebe Road"</f>
        <v>800 North Glebe Road</v>
      </c>
      <c r="I278" t="str">
        <f>"  "</f>
        <v xml:space="preserve">  </v>
      </c>
      <c r="J278" t="str">
        <f>"Arlinton"</f>
        <v>Arlinton</v>
      </c>
      <c r="K278" t="str">
        <f>"VA"</f>
        <v>VA</v>
      </c>
      <c r="L278" t="str">
        <f>"VA"</f>
        <v>VA</v>
      </c>
      <c r="M278" t="str">
        <f>"Large Business"</f>
        <v>Large Business</v>
      </c>
      <c r="N278" t="str">
        <f>""</f>
        <v/>
      </c>
    </row>
    <row r="279" spans="1:14" x14ac:dyDescent="0.35">
      <c r="A279" t="s">
        <v>486</v>
      </c>
      <c r="B279" t="s">
        <v>209</v>
      </c>
      <c r="C279" s="2" t="s">
        <v>487</v>
      </c>
      <c r="D279" t="str">
        <f>"Solutions Engineer"</f>
        <v>Solutions Engineer</v>
      </c>
      <c r="E279" t="s">
        <v>23</v>
      </c>
      <c r="F279" t="str">
        <f>"VMware"</f>
        <v>VMware</v>
      </c>
      <c r="G279" t="str">
        <f>"1-2027474564"</f>
        <v>1-2027474564</v>
      </c>
      <c r="H279" t="str">
        <f>"12100 Sunset Hills Rd"</f>
        <v>12100 Sunset Hills Rd</v>
      </c>
      <c r="I279" t="str">
        <f>"  "</f>
        <v xml:space="preserve">  </v>
      </c>
      <c r="J279" t="str">
        <f>"Reston"</f>
        <v>Reston</v>
      </c>
      <c r="K279" t="str">
        <f>"VA"</f>
        <v>VA</v>
      </c>
      <c r="L279" t="str">
        <f>"20190"</f>
        <v>20190</v>
      </c>
      <c r="M279" t="str">
        <f>"Large Business"</f>
        <v>Large Business</v>
      </c>
      <c r="N279" t="str">
        <f>""</f>
        <v/>
      </c>
    </row>
    <row r="280" spans="1:14" x14ac:dyDescent="0.35">
      <c r="A280" t="s">
        <v>1019</v>
      </c>
      <c r="B280" t="s">
        <v>1018</v>
      </c>
      <c r="C280" s="2" t="s">
        <v>1020</v>
      </c>
      <c r="D280" t="str">
        <f>"President"</f>
        <v>President</v>
      </c>
      <c r="E280" s="1"/>
      <c r="F280" t="str">
        <f>"CARLNTECH, LLC"</f>
        <v>CARLNTECH, LLC</v>
      </c>
      <c r="G280" t="str">
        <f>"1-9164252861"</f>
        <v>1-9164252861</v>
      </c>
      <c r="H280" t="str">
        <f>"8237 Palmerson Drive"</f>
        <v>8237 Palmerson Drive</v>
      </c>
      <c r="I280" t="str">
        <f>"  "</f>
        <v xml:space="preserve">  </v>
      </c>
      <c r="J280" t="str">
        <f>"Antelope"</f>
        <v>Antelope</v>
      </c>
      <c r="K280" t="str">
        <f>"CA"</f>
        <v>CA</v>
      </c>
      <c r="L280" t="str">
        <f>"95843"</f>
        <v>95843</v>
      </c>
      <c r="M280" t="str">
        <f>"VOSB|Small Business|Small Disadvantaged Business"</f>
        <v>VOSB|Small Business|Small Disadvantaged Business</v>
      </c>
      <c r="N280" t="str">
        <f>"https://www.carlntech.com"</f>
        <v>https://www.carlntech.com</v>
      </c>
    </row>
    <row r="281" spans="1:14" x14ac:dyDescent="0.35">
      <c r="A281" t="s">
        <v>240</v>
      </c>
      <c r="B281" t="s">
        <v>239</v>
      </c>
      <c r="C281" s="2" t="s">
        <v>241</v>
      </c>
      <c r="D281" t="str">
        <f>"VP Emerging Solutions"</f>
        <v>VP Emerging Solutions</v>
      </c>
      <c r="E281" t="s">
        <v>23</v>
      </c>
      <c r="F281" t="str">
        <f>"Philips"</f>
        <v>Philips</v>
      </c>
      <c r="G281" t="str">
        <f>"1-2102324032"</f>
        <v>1-2102324032</v>
      </c>
      <c r="H281" t="str">
        <f>"915 15th Street NW, Suite 500"</f>
        <v>915 15th Street NW, Suite 500</v>
      </c>
      <c r="I281" t="str">
        <f>"  "</f>
        <v xml:space="preserve">  </v>
      </c>
      <c r="J281" t="str">
        <f>"Washington"</f>
        <v>Washington</v>
      </c>
      <c r="K281" t="str">
        <f>"DC"</f>
        <v>DC</v>
      </c>
      <c r="L281" t="str">
        <f>"20005"</f>
        <v>20005</v>
      </c>
      <c r="M281" t="str">
        <f>"Large Business"</f>
        <v>Large Business</v>
      </c>
      <c r="N281" t="str">
        <f>"https://www.usa.philips.com/healthcare/government"</f>
        <v>https://www.usa.philips.com/healthcare/government</v>
      </c>
    </row>
    <row r="282" spans="1:14" x14ac:dyDescent="0.35">
      <c r="A282" t="s">
        <v>803</v>
      </c>
      <c r="B282" t="s">
        <v>802</v>
      </c>
      <c r="C282" s="2" t="s">
        <v>804</v>
      </c>
      <c r="D282" t="str">
        <f>"Partner"</f>
        <v>Partner</v>
      </c>
      <c r="E282" s="1"/>
      <c r="F282" t="str">
        <f>"Soran Group LLC"</f>
        <v>Soran Group LLC</v>
      </c>
      <c r="G282" t="str">
        <f>"1-4043802239"</f>
        <v>1-4043802239</v>
      </c>
      <c r="H282" t="str">
        <f>"142 LUCERNE BLVD"</f>
        <v>142 LUCERNE BLVD</v>
      </c>
      <c r="I282" t="str">
        <f>"  "</f>
        <v xml:space="preserve">  </v>
      </c>
      <c r="J282" t="str">
        <f>"CHERRY HILL"</f>
        <v>CHERRY HILL</v>
      </c>
      <c r="K282" t="str">
        <f>"NJ"</f>
        <v>NJ</v>
      </c>
      <c r="L282" t="str">
        <f>"08003-5115"</f>
        <v>08003-5115</v>
      </c>
      <c r="M282" t="str">
        <f>"Small Business"</f>
        <v>Small Business</v>
      </c>
      <c r="N282" t="str">
        <f>""</f>
        <v/>
      </c>
    </row>
    <row r="283" spans="1:14" x14ac:dyDescent="0.35">
      <c r="A283" t="s">
        <v>806</v>
      </c>
      <c r="B283" t="s">
        <v>805</v>
      </c>
      <c r="C283" s="2" t="s">
        <v>807</v>
      </c>
      <c r="D283" t="str">
        <f>"Business Development"</f>
        <v>Business Development</v>
      </c>
      <c r="E283" s="1"/>
      <c r="F283" t="str">
        <f>"MediQuant"</f>
        <v>MediQuant</v>
      </c>
      <c r="G283" t="str">
        <f>"1-703 402 2389"</f>
        <v>1-703 402 2389</v>
      </c>
      <c r="H283" t="str">
        <f>"11927 Triple Crown Rd"</f>
        <v>11927 Triple Crown Rd</v>
      </c>
      <c r="I283" t="str">
        <f>"  "</f>
        <v xml:space="preserve">  </v>
      </c>
      <c r="J283" t="str">
        <f>"Reston"</f>
        <v>Reston</v>
      </c>
      <c r="K283" t="str">
        <f>"VA"</f>
        <v>VA</v>
      </c>
      <c r="L283" t="str">
        <f>"20191"</f>
        <v>20191</v>
      </c>
      <c r="M283" t="str">
        <f>"Small Business"</f>
        <v>Small Business</v>
      </c>
      <c r="N283" t="str">
        <f>"www.mediqunt.com"</f>
        <v>www.mediqunt.com</v>
      </c>
    </row>
    <row r="284" spans="1:14" x14ac:dyDescent="0.35">
      <c r="A284" t="s">
        <v>290</v>
      </c>
      <c r="B284" t="s">
        <v>289</v>
      </c>
      <c r="C284" s="2" t="s">
        <v>291</v>
      </c>
      <c r="D284" t="str">
        <f>"VP Business Development"</f>
        <v>VP Business Development</v>
      </c>
      <c r="E284" s="1"/>
      <c r="F284" t="str">
        <f>"Veterans Engineering"</f>
        <v>Veterans Engineering</v>
      </c>
      <c r="G284" t="str">
        <f>"1-6783586642"</f>
        <v>1-6783586642</v>
      </c>
      <c r="H284" t="str">
        <f>"Crabbs Branch Rd"</f>
        <v>Crabbs Branch Rd</v>
      </c>
      <c r="I284" t="str">
        <f>"  "</f>
        <v xml:space="preserve">  </v>
      </c>
      <c r="J284" t="str">
        <f>"Derwood"</f>
        <v>Derwood</v>
      </c>
      <c r="K284" t="str">
        <f>"MD"</f>
        <v>MD</v>
      </c>
      <c r="L284" t="str">
        <f>"20855"</f>
        <v>20855</v>
      </c>
      <c r="M284" t="str">
        <f>"SDVOSB|VOSB|Small Business"</f>
        <v>SDVOSB|VOSB|Small Business</v>
      </c>
      <c r="N284" t="str">
        <f>"www.veteransenginneering.net"</f>
        <v>www.veteransenginneering.net</v>
      </c>
    </row>
    <row r="285" spans="1:14" x14ac:dyDescent="0.35">
      <c r="A285" t="s">
        <v>201</v>
      </c>
      <c r="B285" t="s">
        <v>200</v>
      </c>
      <c r="C285" s="2" t="s">
        <v>202</v>
      </c>
      <c r="D285" t="str">
        <f>"Director of Business Development"</f>
        <v>Director of Business Development</v>
      </c>
      <c r="E285" s="1"/>
      <c r="F285" t="str">
        <f>"LexisNexis Risk Solutions"</f>
        <v>LexisNexis Risk Solutions</v>
      </c>
      <c r="G285" t="str">
        <f>"1-3012753639"</f>
        <v>1-3012753639</v>
      </c>
      <c r="H285" t="str">
        <f>"1150 18th St NW,"</f>
        <v>1150 18th St NW,</v>
      </c>
      <c r="I285" t="str">
        <f>"Ste 600"</f>
        <v>Ste 600</v>
      </c>
      <c r="J285" t="str">
        <f>"Washington"</f>
        <v>Washington</v>
      </c>
      <c r="K285" t="str">
        <f>"DC"</f>
        <v>DC</v>
      </c>
      <c r="L285" t="str">
        <f>"20036"</f>
        <v>20036</v>
      </c>
      <c r="M285" t="str">
        <f>"Large Business"</f>
        <v>Large Business</v>
      </c>
      <c r="N285" t="str">
        <f>"https://risk.lexisnexis.com/"</f>
        <v>https://risk.lexisnexis.com/</v>
      </c>
    </row>
    <row r="286" spans="1:14" x14ac:dyDescent="0.35">
      <c r="A286" t="s">
        <v>915</v>
      </c>
      <c r="B286" t="s">
        <v>914</v>
      </c>
      <c r="C286" s="2" t="s">
        <v>916</v>
      </c>
      <c r="D286" t="str">
        <f>"CEO"</f>
        <v>CEO</v>
      </c>
      <c r="E286" s="1"/>
      <c r="F286" t="str">
        <f>"Oxley Enterprises, Inc."</f>
        <v>Oxley Enterprises, Inc.</v>
      </c>
      <c r="G286" t="str">
        <f>"1-5407528822"</f>
        <v>1-5407528822</v>
      </c>
      <c r="H286" t="str">
        <f>"PO Box 1870"</f>
        <v>PO Box 1870</v>
      </c>
      <c r="I286" t="str">
        <f>"Stafford, VA 22555"</f>
        <v>Stafford, VA 22555</v>
      </c>
      <c r="J286" t="str">
        <f>"Stafford"</f>
        <v>Stafford</v>
      </c>
      <c r="K286" t="str">
        <f>"VA"</f>
        <v>VA</v>
      </c>
      <c r="L286" t="str">
        <f>"22555"</f>
        <v>22555</v>
      </c>
      <c r="M286" t="str">
        <f>"8(A)|SDVOSB|VOSB|HUBZone|WOSB|Small Business|Small Disadvantaged Business"</f>
        <v>8(A)|SDVOSB|VOSB|HUBZone|WOSB|Small Business|Small Disadvantaged Business</v>
      </c>
      <c r="N286" t="str">
        <f>"https://www.oxleyenterprises.com"</f>
        <v>https://www.oxleyenterprises.com</v>
      </c>
    </row>
    <row r="287" spans="1:14" x14ac:dyDescent="0.35">
      <c r="A287" t="s">
        <v>158</v>
      </c>
      <c r="B287" t="s">
        <v>380</v>
      </c>
      <c r="C287" s="2" t="s">
        <v>381</v>
      </c>
      <c r="D287" t="str">
        <f>"CSDO"</f>
        <v>CSDO</v>
      </c>
      <c r="E287" s="1"/>
      <c r="F287" t="str">
        <f>"Maveris"</f>
        <v>Maveris</v>
      </c>
      <c r="G287" t="str">
        <f>"1-2406269017"</f>
        <v>1-2406269017</v>
      </c>
      <c r="H287" t="str">
        <f>"126 E Burke St"</f>
        <v>126 E Burke St</v>
      </c>
      <c r="I287" t="str">
        <f>"Suite 19"</f>
        <v>Suite 19</v>
      </c>
      <c r="J287" t="str">
        <f>"Martinsburg"</f>
        <v>Martinsburg</v>
      </c>
      <c r="K287" t="str">
        <f>"WV"</f>
        <v>WV</v>
      </c>
      <c r="L287" t="str">
        <f>"25401"</f>
        <v>25401</v>
      </c>
      <c r="M287" t="str">
        <f>"SDVOSB"</f>
        <v>SDVOSB</v>
      </c>
      <c r="N287" t="str">
        <f>"https://maveris.com/"</f>
        <v>https://maveris.com/</v>
      </c>
    </row>
    <row r="288" spans="1:14" x14ac:dyDescent="0.35">
      <c r="A288" t="s">
        <v>158</v>
      </c>
      <c r="B288" t="s">
        <v>157</v>
      </c>
      <c r="C288" s="2" t="s">
        <v>159</v>
      </c>
      <c r="D288" t="str">
        <f>"Advisory Cloud Platform Technical Specialist"</f>
        <v>Advisory Cloud Platform Technical Specialist</v>
      </c>
      <c r="E288" s="1"/>
      <c r="F288" t="str">
        <f>"IBM"</f>
        <v>IBM</v>
      </c>
      <c r="G288" t="str">
        <f>"1-248-909-0540"</f>
        <v>1-248-909-0540</v>
      </c>
      <c r="H288" t="str">
        <f>"3600 Green Court Suite 140"</f>
        <v>3600 Green Court Suite 140</v>
      </c>
      <c r="I288" t="str">
        <f>"  "</f>
        <v xml:space="preserve">  </v>
      </c>
      <c r="J288" t="str">
        <f>"Ann Arbor"</f>
        <v>Ann Arbor</v>
      </c>
      <c r="K288" t="str">
        <f>"MI"</f>
        <v>MI</v>
      </c>
      <c r="L288" t="str">
        <f>"48105"</f>
        <v>48105</v>
      </c>
      <c r="M288" t="str">
        <f>"Large Business"</f>
        <v>Large Business</v>
      </c>
      <c r="N288" t="str">
        <f>"https://cloud.ibm.com/"</f>
        <v>https://cloud.ibm.com/</v>
      </c>
    </row>
    <row r="289" spans="1:14" x14ac:dyDescent="0.35">
      <c r="A289" t="s">
        <v>734</v>
      </c>
      <c r="B289" t="s">
        <v>733</v>
      </c>
      <c r="C289" s="2" t="s">
        <v>735</v>
      </c>
      <c r="D289" t="str">
        <f>"Contract Manager"</f>
        <v>Contract Manager</v>
      </c>
      <c r="E289" s="1"/>
      <c r="F289" t="str">
        <f>"CGI Federal Inc."</f>
        <v>CGI Federal Inc.</v>
      </c>
      <c r="G289" t="str">
        <f>"1-202-841-5405"</f>
        <v>1-202-841-5405</v>
      </c>
      <c r="H289" t="str">
        <f>"12601 Fair Lakes Circle"</f>
        <v>12601 Fair Lakes Circle</v>
      </c>
      <c r="I289" t="str">
        <f>"  "</f>
        <v xml:space="preserve">  </v>
      </c>
      <c r="J289" t="str">
        <f>"Fairfax"</f>
        <v>Fairfax</v>
      </c>
      <c r="K289" t="str">
        <f>"Virginia"</f>
        <v>Virginia</v>
      </c>
      <c r="L289" t="str">
        <f>"22033"</f>
        <v>22033</v>
      </c>
      <c r="M289" t="str">
        <f>"Large Business"</f>
        <v>Large Business</v>
      </c>
      <c r="N289" t="str">
        <f>""</f>
        <v/>
      </c>
    </row>
    <row r="290" spans="1:14" x14ac:dyDescent="0.35">
      <c r="A290" t="s">
        <v>40</v>
      </c>
      <c r="B290" t="s">
        <v>39</v>
      </c>
      <c r="C290" s="2" t="s">
        <v>41</v>
      </c>
      <c r="D290" t="str">
        <f>"Director of Government sales"</f>
        <v>Director of Government sales</v>
      </c>
      <c r="E290" s="1"/>
      <c r="F290" t="str">
        <f>"Education Management Solutions"</f>
        <v>Education Management Solutions</v>
      </c>
      <c r="G290" t="str">
        <f>"1-2677696869"</f>
        <v>1-2677696869</v>
      </c>
      <c r="H290" t="str">
        <f>"436 Creamery Way"</f>
        <v>436 Creamery Way</v>
      </c>
      <c r="I290" t="str">
        <f>"Suite 300"</f>
        <v>Suite 300</v>
      </c>
      <c r="J290" t="str">
        <f>"Exton"</f>
        <v>Exton</v>
      </c>
      <c r="K290" t="str">
        <f>"PA"</f>
        <v>PA</v>
      </c>
      <c r="L290" t="str">
        <f>"19341"</f>
        <v>19341</v>
      </c>
      <c r="M290" t="str">
        <f>"Small Business"</f>
        <v>Small Business</v>
      </c>
      <c r="N290" t="str">
        <f>"www.simulationiq.com"</f>
        <v>www.simulationiq.com</v>
      </c>
    </row>
    <row r="291" spans="1:14" x14ac:dyDescent="0.35">
      <c r="A291" t="s">
        <v>809</v>
      </c>
      <c r="B291" t="s">
        <v>699</v>
      </c>
      <c r="C291" s="2" t="s">
        <v>810</v>
      </c>
      <c r="D291" t="str">
        <f>"Director of Business Development"</f>
        <v>Director of Business Development</v>
      </c>
      <c r="E291" t="s">
        <v>22</v>
      </c>
      <c r="F291" t="str">
        <f>"EM Key Solutions Inc"</f>
        <v>EM Key Solutions Inc</v>
      </c>
      <c r="G291" t="str">
        <f>"1-7277436727"</f>
        <v>1-7277436727</v>
      </c>
      <c r="H291" t="str">
        <f>"2000 Park St N"</f>
        <v>2000 Park St N</v>
      </c>
      <c r="I291" t="str">
        <f>"  "</f>
        <v xml:space="preserve">  </v>
      </c>
      <c r="J291" t="str">
        <f>"SAINT PETERSBURG"</f>
        <v>SAINT PETERSBURG</v>
      </c>
      <c r="K291" t="str">
        <f>"FL"</f>
        <v>FL</v>
      </c>
      <c r="L291" t="str">
        <f>"33710"</f>
        <v>33710</v>
      </c>
      <c r="M291" t="str">
        <f>"SDVOSB|Small Business"</f>
        <v>SDVOSB|Small Business</v>
      </c>
      <c r="N291" t="str">
        <f>"https://www.emkeysolutions.com/"</f>
        <v>https://www.emkeysolutions.com/</v>
      </c>
    </row>
    <row r="292" spans="1:14" x14ac:dyDescent="0.35">
      <c r="A292" t="s">
        <v>316</v>
      </c>
      <c r="B292" t="s">
        <v>1043</v>
      </c>
      <c r="C292" s="2" t="s">
        <v>1044</v>
      </c>
      <c r="D292" t="str">
        <f>"Head of Federal Business Development"</f>
        <v>Head of Federal Business Development</v>
      </c>
      <c r="E292" s="1"/>
      <c r="F292" t="str">
        <f>"Civis Analytics"</f>
        <v>Civis Analytics</v>
      </c>
      <c r="G292" t="str">
        <f>"1-202.978.0519"</f>
        <v>1-202.978.0519</v>
      </c>
      <c r="H292" t="str">
        <f>"130 Main Street"</f>
        <v>130 Main Street</v>
      </c>
      <c r="I292" t="str">
        <f>"  "</f>
        <v xml:space="preserve">  </v>
      </c>
      <c r="J292" t="str">
        <f>"Hyattsville"</f>
        <v>Hyattsville</v>
      </c>
      <c r="K292" t="str">
        <f>"MD"</f>
        <v>MD</v>
      </c>
      <c r="L292" t="str">
        <f>"20782"</f>
        <v>20782</v>
      </c>
      <c r="M292" t="str">
        <f>"Small Business"</f>
        <v>Small Business</v>
      </c>
      <c r="N292" t="str">
        <f>"222.civisanalytics.com"</f>
        <v>222.civisanalytics.com</v>
      </c>
    </row>
    <row r="293" spans="1:14" x14ac:dyDescent="0.35">
      <c r="A293" t="s">
        <v>221</v>
      </c>
      <c r="B293" t="s">
        <v>220</v>
      </c>
      <c r="C293" s="2" t="s">
        <v>222</v>
      </c>
      <c r="D293" t="str">
        <f>"Manager"</f>
        <v>Manager</v>
      </c>
      <c r="E293" s="1"/>
      <c r="F293" t="str">
        <f>"Minuteman Technology Services"</f>
        <v>Minuteman Technology Services</v>
      </c>
      <c r="G293" t="str">
        <f>"1-9085071629"</f>
        <v>1-9085071629</v>
      </c>
      <c r="H293" t="str">
        <f>"19 Appleton St"</f>
        <v>19 Appleton St</v>
      </c>
      <c r="I293" t="str">
        <f>"  "</f>
        <v xml:space="preserve">  </v>
      </c>
      <c r="J293" t="str">
        <f>"Waltham"</f>
        <v>Waltham</v>
      </c>
      <c r="K293" t="str">
        <f>"MA"</f>
        <v>MA</v>
      </c>
      <c r="L293" t="str">
        <f>"02453"</f>
        <v>02453</v>
      </c>
      <c r="M293" t="str">
        <f>"SDVOSB"</f>
        <v>SDVOSB</v>
      </c>
      <c r="N293" t="str">
        <f>"minuteman-llc.com"</f>
        <v>minuteman-llc.com</v>
      </c>
    </row>
    <row r="294" spans="1:14" x14ac:dyDescent="0.35">
      <c r="A294" t="s">
        <v>1113</v>
      </c>
      <c r="B294" t="s">
        <v>1112</v>
      </c>
      <c r="C294" s="2" t="s">
        <v>1114</v>
      </c>
      <c r="D294" t="str">
        <f>"Account Director"</f>
        <v>Account Director</v>
      </c>
      <c r="E294" s="1"/>
      <c r="F294" t="str">
        <f>"Gartner"</f>
        <v>Gartner</v>
      </c>
      <c r="G294" t="str">
        <f>"1-7038357750"</f>
        <v>1-7038357750</v>
      </c>
      <c r="H294" t="str">
        <f>"Wilson Blvd"</f>
        <v>Wilson Blvd</v>
      </c>
      <c r="I294" t="str">
        <f>"  "</f>
        <v xml:space="preserve">  </v>
      </c>
      <c r="J294" t="str">
        <f>"ASD"</f>
        <v>ASD</v>
      </c>
      <c r="K294" t="str">
        <f>"MD"</f>
        <v>MD</v>
      </c>
      <c r="L294" t="str">
        <f>"21224"</f>
        <v>21224</v>
      </c>
      <c r="M294" t="str">
        <f>"Large Business"</f>
        <v>Large Business</v>
      </c>
      <c r="N294" t="str">
        <f>""</f>
        <v/>
      </c>
    </row>
    <row r="295" spans="1:14" x14ac:dyDescent="0.35">
      <c r="A295" t="s">
        <v>144</v>
      </c>
      <c r="B295" t="s">
        <v>419</v>
      </c>
      <c r="C295" s="2" t="s">
        <v>420</v>
      </c>
      <c r="D295" t="str">
        <f>"Account Executive"</f>
        <v>Account Executive</v>
      </c>
      <c r="E295" t="s">
        <v>23</v>
      </c>
      <c r="F295" t="str">
        <f>"ManTech International"</f>
        <v>ManTech International</v>
      </c>
      <c r="G295" t="str">
        <f>"1-8319171442"</f>
        <v>1-8319171442</v>
      </c>
      <c r="H295" t="str">
        <f>"2251 Corporate Park Drive"</f>
        <v>2251 Corporate Park Drive</v>
      </c>
      <c r="I295" t="str">
        <f>"  "</f>
        <v xml:space="preserve">  </v>
      </c>
      <c r="J295" t="str">
        <f>"Herndon"</f>
        <v>Herndon</v>
      </c>
      <c r="K295" t="str">
        <f>"Virginia"</f>
        <v>Virginia</v>
      </c>
      <c r="L295" t="str">
        <f>"20171"</f>
        <v>20171</v>
      </c>
      <c r="M295" t="str">
        <f>"Large Business"</f>
        <v>Large Business</v>
      </c>
      <c r="N295" t="str">
        <f>"www.mantech.com"</f>
        <v>www.mantech.com</v>
      </c>
    </row>
    <row r="296" spans="1:14" x14ac:dyDescent="0.35">
      <c r="A296" t="s">
        <v>144</v>
      </c>
      <c r="B296" t="s">
        <v>143</v>
      </c>
      <c r="C296" s="2" t="s">
        <v>145</v>
      </c>
      <c r="D296" t="str">
        <f>"Business Change Manager"</f>
        <v>Business Change Manager</v>
      </c>
      <c r="E296" s="1"/>
      <c r="F296" t="str">
        <f>"Anthem Inc"</f>
        <v>Anthem Inc</v>
      </c>
      <c r="G296" t="str">
        <f>"1-5183391921"</f>
        <v>1-5183391921</v>
      </c>
      <c r="H296" t="str">
        <f>"427 Gifford Rd"</f>
        <v>427 Gifford Rd</v>
      </c>
      <c r="I296" t="str">
        <f>"  "</f>
        <v xml:space="preserve">  </v>
      </c>
      <c r="J296" t="str">
        <f>"Schenectady"</f>
        <v>Schenectady</v>
      </c>
      <c r="K296" t="str">
        <f>"New York"</f>
        <v>New York</v>
      </c>
      <c r="L296" t="str">
        <f>"12304"</f>
        <v>12304</v>
      </c>
      <c r="M296" t="str">
        <f>"Large Business"</f>
        <v>Large Business</v>
      </c>
      <c r="N296" t="str">
        <f>"N/A"</f>
        <v>N/A</v>
      </c>
    </row>
    <row r="297" spans="1:14" x14ac:dyDescent="0.35">
      <c r="A297" t="s">
        <v>164</v>
      </c>
      <c r="B297" t="s">
        <v>1045</v>
      </c>
      <c r="C297" s="2" t="s">
        <v>1046</v>
      </c>
      <c r="D297" t="str">
        <f>"Consultant"</f>
        <v>Consultant</v>
      </c>
      <c r="E297" s="1"/>
      <c r="F297" t="str">
        <f>"Best Practice Management LLC"</f>
        <v>Best Practice Management LLC</v>
      </c>
      <c r="G297" t="str">
        <f>"1-9199252445"</f>
        <v>1-9199252445</v>
      </c>
      <c r="H297" t="str">
        <f>"PO Box 1635"</f>
        <v>PO Box 1635</v>
      </c>
      <c r="I297" t="str">
        <f>"  "</f>
        <v xml:space="preserve">  </v>
      </c>
      <c r="J297" t="str">
        <f>"Wake Forest"</f>
        <v>Wake Forest</v>
      </c>
      <c r="K297" t="str">
        <f>"NC"</f>
        <v>NC</v>
      </c>
      <c r="L297" t="str">
        <f>"27588"</f>
        <v>27588</v>
      </c>
      <c r="M297" t="str">
        <f>"Small Business"</f>
        <v>Small Business</v>
      </c>
      <c r="N297" t="str">
        <f>""</f>
        <v/>
      </c>
    </row>
    <row r="298" spans="1:14" x14ac:dyDescent="0.35">
      <c r="A298" t="s">
        <v>164</v>
      </c>
      <c r="B298" t="s">
        <v>97</v>
      </c>
      <c r="C298" s="2" t="s">
        <v>165</v>
      </c>
      <c r="D298" t="str">
        <f>"Chief Operating Officer"</f>
        <v>Chief Operating Officer</v>
      </c>
      <c r="E298" t="s">
        <v>22</v>
      </c>
      <c r="F298" t="str">
        <f>"Sierra7"</f>
        <v>Sierra7</v>
      </c>
      <c r="G298" t="str">
        <f>"1-7035890450"</f>
        <v>1-7035890450</v>
      </c>
      <c r="H298" t="str">
        <f>"3190 Fairview Park Drive"</f>
        <v>3190 Fairview Park Drive</v>
      </c>
      <c r="I298" t="str">
        <f>"Suite 350"</f>
        <v>Suite 350</v>
      </c>
      <c r="J298" t="str">
        <f>"Falls Church"</f>
        <v>Falls Church</v>
      </c>
      <c r="K298" t="str">
        <f>"VA"</f>
        <v>VA</v>
      </c>
      <c r="L298" t="str">
        <f>"22033"</f>
        <v>22033</v>
      </c>
      <c r="M298" t="str">
        <f>"SDVOSB|VOSB|Small Disadvantaged Business"</f>
        <v>SDVOSB|VOSB|Small Disadvantaged Business</v>
      </c>
      <c r="N298" t="str">
        <f>"Sierra7.com"</f>
        <v>Sierra7.com</v>
      </c>
    </row>
    <row r="299" spans="1:14" x14ac:dyDescent="0.35">
      <c r="A299" t="s">
        <v>276</v>
      </c>
      <c r="B299" t="s">
        <v>39</v>
      </c>
      <c r="C299" s="2" t="s">
        <v>277</v>
      </c>
      <c r="D299" t="str">
        <f>"Account Executive"</f>
        <v>Account Executive</v>
      </c>
      <c r="E299" s="1"/>
      <c r="F299" t="str">
        <f>"Minburn Technology Group"</f>
        <v>Minburn Technology Group</v>
      </c>
      <c r="G299" t="str">
        <f>"1-5129429228"</f>
        <v>1-5129429228</v>
      </c>
      <c r="H299" t="str">
        <f>"9716 Arnon Chapel Dr"</f>
        <v>9716 Arnon Chapel Dr</v>
      </c>
      <c r="I299" t="str">
        <f>"  "</f>
        <v xml:space="preserve">  </v>
      </c>
      <c r="J299" t="str">
        <f>"Great Falls"</f>
        <v>Great Falls</v>
      </c>
      <c r="K299" t="str">
        <f>"VA"</f>
        <v>VA</v>
      </c>
      <c r="L299" t="str">
        <f>"22066"</f>
        <v>22066</v>
      </c>
      <c r="M299" t="str">
        <f>"SDVOSB|Small Business"</f>
        <v>SDVOSB|Small Business</v>
      </c>
      <c r="N299" t="str">
        <f>"www.minburntech.com"</f>
        <v>www.minburntech.com</v>
      </c>
    </row>
    <row r="300" spans="1:14" x14ac:dyDescent="0.35">
      <c r="A300" t="s">
        <v>867</v>
      </c>
      <c r="B300" t="s">
        <v>866</v>
      </c>
      <c r="C300" s="2" t="s">
        <v>868</v>
      </c>
      <c r="D300" t="str">
        <f>"Director"</f>
        <v>Director</v>
      </c>
      <c r="E300" t="s">
        <v>34</v>
      </c>
      <c r="F300" t="str">
        <f>"DSS"</f>
        <v>DSS</v>
      </c>
      <c r="G300" t="str">
        <f>"1-7035099841"</f>
        <v>1-7035099841</v>
      </c>
      <c r="H300" t="str">
        <f>"11012 Farmview Ct"</f>
        <v>11012 Farmview Ct</v>
      </c>
      <c r="I300" t="str">
        <f>"  "</f>
        <v xml:space="preserve">  </v>
      </c>
      <c r="J300" t="str">
        <f>"Spotsylvania"</f>
        <v>Spotsylvania</v>
      </c>
      <c r="K300" t="str">
        <f>"VA"</f>
        <v>VA</v>
      </c>
      <c r="L300" t="str">
        <f>"22551"</f>
        <v>22551</v>
      </c>
      <c r="M300" t="str">
        <f>"Large Business"</f>
        <v>Large Business</v>
      </c>
      <c r="N300" t="str">
        <f>"DSSinc.com"</f>
        <v>DSSinc.com</v>
      </c>
    </row>
    <row r="301" spans="1:14" x14ac:dyDescent="0.35">
      <c r="A301" t="s">
        <v>1035</v>
      </c>
      <c r="B301" t="s">
        <v>1034</v>
      </c>
      <c r="C301" s="2" t="s">
        <v>1036</v>
      </c>
      <c r="D301" t="str">
        <f>"Business Analyst"</f>
        <v>Business Analyst</v>
      </c>
      <c r="E301" t="s">
        <v>22</v>
      </c>
      <c r="F301" t="str">
        <f>"Business Analyst"</f>
        <v>Business Analyst</v>
      </c>
      <c r="G301" t="str">
        <f>"1-17033866898"</f>
        <v>1-17033866898</v>
      </c>
      <c r="H301" t="str">
        <f>"10432 Balls Ford Rd. STE 300"</f>
        <v>10432 Balls Ford Rd. STE 300</v>
      </c>
      <c r="I301" t="str">
        <f>"  "</f>
        <v xml:space="preserve">  </v>
      </c>
      <c r="J301" t="str">
        <f>"Manassas"</f>
        <v>Manassas</v>
      </c>
      <c r="K301" t="str">
        <f>"Alabama"</f>
        <v>Alabama</v>
      </c>
      <c r="L301" t="str">
        <f>"20109"</f>
        <v>20109</v>
      </c>
      <c r="M301" t="str">
        <f>"SDVOSB|Small Business"</f>
        <v>SDVOSB|Small Business</v>
      </c>
      <c r="N301" t="str">
        <f>""</f>
        <v/>
      </c>
    </row>
    <row r="302" spans="1:14" x14ac:dyDescent="0.35">
      <c r="A302" t="s">
        <v>1060</v>
      </c>
      <c r="B302" t="s">
        <v>224</v>
      </c>
      <c r="C302" s="2" t="s">
        <v>1061</v>
      </c>
      <c r="D302" t="str">
        <f>"SVP Growth"</f>
        <v>SVP Growth</v>
      </c>
      <c r="E302" t="s">
        <v>22</v>
      </c>
      <c r="F302" t="str">
        <f>"VetsEZ"</f>
        <v>VetsEZ</v>
      </c>
      <c r="G302" t="str">
        <f>"1-7039465132"</f>
        <v>1-7039465132</v>
      </c>
      <c r="H302" t="str">
        <f>"1901 1st Avenue, Suite 192"</f>
        <v>1901 1st Avenue, Suite 192</v>
      </c>
      <c r="I302" t="str">
        <f>"  "</f>
        <v xml:space="preserve">  </v>
      </c>
      <c r="J302" t="str">
        <f>"San Dieg"</f>
        <v>San Dieg</v>
      </c>
      <c r="K302" t="str">
        <f>"CA"</f>
        <v>CA</v>
      </c>
      <c r="L302" t="str">
        <f>"92101"</f>
        <v>92101</v>
      </c>
      <c r="M302" t="str">
        <f>"SDVOSB"</f>
        <v>SDVOSB</v>
      </c>
      <c r="N302" t="str">
        <f>"https://vetsez.com/"</f>
        <v>https://vetsez.com/</v>
      </c>
    </row>
    <row r="303" spans="1:14" x14ac:dyDescent="0.35">
      <c r="A303" t="s">
        <v>262</v>
      </c>
      <c r="B303" t="s">
        <v>38</v>
      </c>
      <c r="C303" s="2" t="s">
        <v>263</v>
      </c>
      <c r="D303" t="str">
        <f>"Solution Architect"</f>
        <v>Solution Architect</v>
      </c>
      <c r="E303" t="s">
        <v>23</v>
      </c>
      <c r="F303" t="str">
        <f>"Hewlett Packard Enterprise"</f>
        <v>Hewlett Packard Enterprise</v>
      </c>
      <c r="G303" t="str">
        <f>"1-603-320-1051"</f>
        <v>1-603-320-1051</v>
      </c>
      <c r="H303" t="str">
        <f>"4 Hopkins Street"</f>
        <v>4 Hopkins Street</v>
      </c>
      <c r="I303" t="str">
        <f>"  "</f>
        <v xml:space="preserve">  </v>
      </c>
      <c r="J303" t="str">
        <f>"NASHUA"</f>
        <v>NASHUA</v>
      </c>
      <c r="K303" t="str">
        <f>"NH"</f>
        <v>NH</v>
      </c>
      <c r="L303" t="str">
        <f>"03064-2143"</f>
        <v>03064-2143</v>
      </c>
      <c r="M303" t="str">
        <f>"Large Business"</f>
        <v>Large Business</v>
      </c>
      <c r="N303" t="str">
        <f>""</f>
        <v/>
      </c>
    </row>
    <row r="304" spans="1:14" x14ac:dyDescent="0.35">
      <c r="A304" t="s">
        <v>571</v>
      </c>
      <c r="B304" t="s">
        <v>257</v>
      </c>
      <c r="C304" s="2" t="s">
        <v>572</v>
      </c>
      <c r="D304" t="str">
        <f>"Federal Client Manager - Optiv"</f>
        <v>Federal Client Manager - Optiv</v>
      </c>
      <c r="E304" t="s">
        <v>23</v>
      </c>
      <c r="F304" t="str">
        <f>"Optiv"</f>
        <v>Optiv</v>
      </c>
      <c r="G304" t="str">
        <f>"1-2484123907"</f>
        <v>1-2484123907</v>
      </c>
      <c r="H304" t="str">
        <f>"1144 15th Street"</f>
        <v>1144 15th Street</v>
      </c>
      <c r="I304" t="str">
        <f>"Suite 2900"</f>
        <v>Suite 2900</v>
      </c>
      <c r="J304" t="str">
        <f>"Denver"</f>
        <v>Denver</v>
      </c>
      <c r="K304" t="str">
        <f>"CO"</f>
        <v>CO</v>
      </c>
      <c r="L304" t="str">
        <f>"80202"</f>
        <v>80202</v>
      </c>
      <c r="M304" t="str">
        <f>"Large Business"</f>
        <v>Large Business</v>
      </c>
      <c r="N304" t="str">
        <f>"https://www.optiv.com/solutions/optiv-federal"</f>
        <v>https://www.optiv.com/solutions/optiv-federal</v>
      </c>
    </row>
    <row r="305" spans="1:14" x14ac:dyDescent="0.35">
      <c r="A305" t="s">
        <v>795</v>
      </c>
      <c r="B305" t="s">
        <v>794</v>
      </c>
      <c r="C305" s="2" t="s">
        <v>796</v>
      </c>
      <c r="D305" t="str">
        <f>"Chief Strategy Officer"</f>
        <v>Chief Strategy Officer</v>
      </c>
      <c r="E305" s="1"/>
      <c r="F305" t="str">
        <f>"TDI Technologies"</f>
        <v>TDI Technologies</v>
      </c>
      <c r="G305" t="str">
        <f>"1-2674969832"</f>
        <v>1-2674969832</v>
      </c>
      <c r="H305" t="str">
        <f>"4900 S Broad Street, Suite 120"</f>
        <v>4900 S Broad Street, Suite 120</v>
      </c>
      <c r="I305" t="str">
        <f>"  "</f>
        <v xml:space="preserve">  </v>
      </c>
      <c r="J305" t="str">
        <f>"Philadelphia"</f>
        <v>Philadelphia</v>
      </c>
      <c r="K305" t="str">
        <f>"PA"</f>
        <v>PA</v>
      </c>
      <c r="L305" t="str">
        <f>"19112"</f>
        <v>19112</v>
      </c>
      <c r="M305" t="str">
        <f>"Small Business"</f>
        <v>Small Business</v>
      </c>
      <c r="N305" t="str">
        <f>"tditek.com"</f>
        <v>tditek.com</v>
      </c>
    </row>
    <row r="306" spans="1:14" x14ac:dyDescent="0.35">
      <c r="A306" t="s">
        <v>610</v>
      </c>
      <c r="B306" t="s">
        <v>27</v>
      </c>
      <c r="C306" s="2" t="s">
        <v>611</v>
      </c>
      <c r="D306" t="str">
        <f>"Chief Systems Engineer"</f>
        <v>Chief Systems Engineer</v>
      </c>
      <c r="E306" t="s">
        <v>23</v>
      </c>
      <c r="F306" t="str">
        <f>"Leidos"</f>
        <v>Leidos</v>
      </c>
      <c r="G306" t="str">
        <f>"1-858 826 2466"</f>
        <v>1-858 826 2466</v>
      </c>
      <c r="H306" t="str">
        <f>"PO Box 895"</f>
        <v>PO Box 895</v>
      </c>
      <c r="I306" t="str">
        <f>"  "</f>
        <v xml:space="preserve">  </v>
      </c>
      <c r="J306" t="str">
        <f>"del mar"</f>
        <v>del mar</v>
      </c>
      <c r="K306" t="str">
        <f>"ca"</f>
        <v>ca</v>
      </c>
      <c r="L306" t="str">
        <f>"92014"</f>
        <v>92014</v>
      </c>
      <c r="M306" t="str">
        <f>"Large Business"</f>
        <v>Large Business</v>
      </c>
      <c r="N306" t="str">
        <f>"www.leidos.com"</f>
        <v>www.leidos.com</v>
      </c>
    </row>
    <row r="307" spans="1:14" x14ac:dyDescent="0.35">
      <c r="A307" t="s">
        <v>314</v>
      </c>
      <c r="B307" t="s">
        <v>103</v>
      </c>
      <c r="C307" s="2" t="s">
        <v>315</v>
      </c>
      <c r="D307" t="str">
        <f>"CEO"</f>
        <v>CEO</v>
      </c>
      <c r="E307" t="s">
        <v>22</v>
      </c>
      <c r="F307" t="str">
        <f>"IronArch Technology"</f>
        <v>IronArch Technology</v>
      </c>
      <c r="G307" t="str">
        <f>"1-7039999979"</f>
        <v>1-7039999979</v>
      </c>
      <c r="H307" t="str">
        <f>"1313 Dolley Madison Boulevard"</f>
        <v>1313 Dolley Madison Boulevard</v>
      </c>
      <c r="I307" t="str">
        <f>"Suite 404"</f>
        <v>Suite 404</v>
      </c>
      <c r="J307" t="str">
        <f>"McLean"</f>
        <v>McLean</v>
      </c>
      <c r="K307" t="str">
        <f>"VA"</f>
        <v>VA</v>
      </c>
      <c r="L307" t="str">
        <f>"22101"</f>
        <v>22101</v>
      </c>
      <c r="M307" t="str">
        <f>"SDVOSB"</f>
        <v>SDVOSB</v>
      </c>
      <c r="N307" t="str">
        <f>"https://ironarchtechnology.com/"</f>
        <v>https://ironarchtechnology.com/</v>
      </c>
    </row>
    <row r="308" spans="1:14" x14ac:dyDescent="0.35">
      <c r="A308" t="s">
        <v>258</v>
      </c>
      <c r="B308" t="s">
        <v>257</v>
      </c>
      <c r="C308" s="2" t="s">
        <v>259</v>
      </c>
      <c r="D308" t="str">
        <f>"VP, Strategy"</f>
        <v>VP, Strategy</v>
      </c>
      <c r="E308" s="1"/>
      <c r="F308" t="str">
        <f>"Agile Six"</f>
        <v>Agile Six</v>
      </c>
      <c r="G308" t="str">
        <f>"1-8602020634"</f>
        <v>1-8602020634</v>
      </c>
      <c r="H308" t="str">
        <f>"190 Wooster Street"</f>
        <v>190 Wooster Street</v>
      </c>
      <c r="I308" t="str">
        <f>"  "</f>
        <v xml:space="preserve">  </v>
      </c>
      <c r="J308" t="str">
        <f>"New Haven"</f>
        <v>New Haven</v>
      </c>
      <c r="K308" t="str">
        <f>"CT"</f>
        <v>CT</v>
      </c>
      <c r="L308" t="str">
        <f>"06511"</f>
        <v>06511</v>
      </c>
      <c r="M308" t="str">
        <f>"SDVOSB|VOSB|Small Business"</f>
        <v>SDVOSB|VOSB|Small Business</v>
      </c>
      <c r="N308" t="str">
        <f>"www.agile6.com"</f>
        <v>www.agile6.com</v>
      </c>
    </row>
    <row r="309" spans="1:14" x14ac:dyDescent="0.35">
      <c r="A309" t="s">
        <v>1041</v>
      </c>
      <c r="B309" t="s">
        <v>1040</v>
      </c>
      <c r="C309" s="2" t="s">
        <v>1042</v>
      </c>
      <c r="D309" t="str">
        <f>"Knowledge Management Director"</f>
        <v>Knowledge Management Director</v>
      </c>
      <c r="E309" t="s">
        <v>23</v>
      </c>
      <c r="F309" t="str">
        <f>"GovernmentCIO"</f>
        <v>GovernmentCIO</v>
      </c>
      <c r="G309" t="str">
        <f>"1-9195939883"</f>
        <v>1-9195939883</v>
      </c>
      <c r="H309" t="str">
        <f>"141 Waterville St"</f>
        <v>141 Waterville St</v>
      </c>
      <c r="I309" t="str">
        <f>"  "</f>
        <v xml:space="preserve">  </v>
      </c>
      <c r="J309" t="str">
        <f>"Raleigh"</f>
        <v>Raleigh</v>
      </c>
      <c r="K309" t="str">
        <f>"NC"</f>
        <v>NC</v>
      </c>
      <c r="L309" t="str">
        <f>"27603"</f>
        <v>27603</v>
      </c>
      <c r="M309" t="str">
        <f>"Large Business"</f>
        <v>Large Business</v>
      </c>
      <c r="N309" t="str">
        <f>""</f>
        <v/>
      </c>
    </row>
    <row r="310" spans="1:14" x14ac:dyDescent="0.35">
      <c r="A310" t="s">
        <v>371</v>
      </c>
      <c r="B310" t="s">
        <v>370</v>
      </c>
      <c r="C310" s="2" t="s">
        <v>372</v>
      </c>
      <c r="D310" t="str">
        <f>"Account Manager"</f>
        <v>Account Manager</v>
      </c>
      <c r="E310" s="1"/>
      <c r="F310" t="str">
        <f>"Merlin Cyber"</f>
        <v>Merlin Cyber</v>
      </c>
      <c r="G310" t="str">
        <f>"1-5408180599"</f>
        <v>1-5408180599</v>
      </c>
      <c r="H310" t="str">
        <f>"41051 Brook Grove Drive"</f>
        <v>41051 Brook Grove Drive</v>
      </c>
      <c r="I310" t="str">
        <f>"  "</f>
        <v xml:space="preserve">  </v>
      </c>
      <c r="J310" t="str">
        <f>"ALDIE"</f>
        <v>ALDIE</v>
      </c>
      <c r="K310" t="str">
        <f>"VA"</f>
        <v>VA</v>
      </c>
      <c r="L310" t="str">
        <f>"20105"</f>
        <v>20105</v>
      </c>
      <c r="M310" t="str">
        <f>"Large Business"</f>
        <v>Large Business</v>
      </c>
      <c r="N310" t="str">
        <f>"https://merlincyber.com/"</f>
        <v>https://merlincyber.com/</v>
      </c>
    </row>
    <row r="311" spans="1:14" x14ac:dyDescent="0.35">
      <c r="A311" t="s">
        <v>294</v>
      </c>
      <c r="B311" t="s">
        <v>293</v>
      </c>
      <c r="C311" s="2" t="s">
        <v>295</v>
      </c>
      <c r="D311" t="str">
        <f>"VP Growth &amp; Business Development"</f>
        <v>VP Growth &amp; Business Development</v>
      </c>
      <c r="E311" s="1"/>
      <c r="F311" t="str">
        <f>"TuckerRose Associates, LLC"</f>
        <v>TuckerRose Associates, LLC</v>
      </c>
      <c r="G311" t="str">
        <f>"1-15127611839"</f>
        <v>1-15127611839</v>
      </c>
      <c r="H311" t="str">
        <f>"2405 S Interstate 35"</f>
        <v>2405 S Interstate 35</v>
      </c>
      <c r="I311" t="str">
        <f>"2405 S Interstate 35"</f>
        <v>2405 S Interstate 35</v>
      </c>
      <c r="J311" t="str">
        <f>"New Braunfels"</f>
        <v>New Braunfels</v>
      </c>
      <c r="K311" t="str">
        <f>"TX"</f>
        <v>TX</v>
      </c>
      <c r="L311" t="str">
        <f>"78130"</f>
        <v>78130</v>
      </c>
      <c r="M311" t="str">
        <f>"SDVOSB"</f>
        <v>SDVOSB</v>
      </c>
      <c r="N311" t="str">
        <f>"TuckerRose@tuckerrose.com"</f>
        <v>TuckerRose@tuckerrose.com</v>
      </c>
    </row>
    <row r="312" spans="1:14" x14ac:dyDescent="0.35">
      <c r="A312" t="s">
        <v>1065</v>
      </c>
      <c r="B312" t="s">
        <v>1068</v>
      </c>
      <c r="C312" s="2" t="s">
        <v>1069</v>
      </c>
      <c r="D312" t="str">
        <f>"Business Development Officer"</f>
        <v>Business Development Officer</v>
      </c>
      <c r="E312" t="s">
        <v>22</v>
      </c>
      <c r="F312" t="str">
        <f>"TMF Health Quality Institute"</f>
        <v>TMF Health Quality Institute</v>
      </c>
      <c r="G312" t="str">
        <f>"1-5125633680"</f>
        <v>1-5125633680</v>
      </c>
      <c r="H312" t="str">
        <f>"3107 Oak Creek Dr."</f>
        <v>3107 Oak Creek Dr.</v>
      </c>
      <c r="I312" t="str">
        <f>"Suite 200"</f>
        <v>Suite 200</v>
      </c>
      <c r="J312" t="str">
        <f>"Austin"</f>
        <v>Austin</v>
      </c>
      <c r="K312" t="str">
        <f>"TX"</f>
        <v>TX</v>
      </c>
      <c r="L312" t="str">
        <f>"78727"</f>
        <v>78727</v>
      </c>
      <c r="M312" t="str">
        <f>"Large Business"</f>
        <v>Large Business</v>
      </c>
      <c r="N312" t="str">
        <f>""</f>
        <v/>
      </c>
    </row>
    <row r="313" spans="1:14" x14ac:dyDescent="0.35">
      <c r="A313" t="s">
        <v>20</v>
      </c>
      <c r="B313" t="s">
        <v>19</v>
      </c>
      <c r="C313" s="2" t="s">
        <v>21</v>
      </c>
      <c r="D313" t="str">
        <f>"Principal Consultant"</f>
        <v>Principal Consultant</v>
      </c>
      <c r="E313" t="s">
        <v>22</v>
      </c>
      <c r="F313" t="str">
        <f>"LTS"</f>
        <v>LTS</v>
      </c>
      <c r="G313" t="str">
        <f>"1-2024360525"</f>
        <v>1-2024360525</v>
      </c>
      <c r="H313" t="str">
        <f>"Worldgate Dr"</f>
        <v>Worldgate Dr</v>
      </c>
      <c r="I313" t="str">
        <f>"  "</f>
        <v xml:space="preserve">  </v>
      </c>
      <c r="J313" t="str">
        <f>"Herndon"</f>
        <v>Herndon</v>
      </c>
      <c r="K313" t="str">
        <f>"VA"</f>
        <v>VA</v>
      </c>
      <c r="L313" t="str">
        <f>"20170"</f>
        <v>20170</v>
      </c>
      <c r="M313" t="str">
        <f>"Small Business"</f>
        <v>Small Business</v>
      </c>
      <c r="N313" t="str">
        <f>""</f>
        <v/>
      </c>
    </row>
    <row r="314" spans="1:14" x14ac:dyDescent="0.35">
      <c r="A314" t="s">
        <v>1003</v>
      </c>
      <c r="B314" t="s">
        <v>14</v>
      </c>
      <c r="C314" s="2" t="s">
        <v>1004</v>
      </c>
      <c r="D314" t="str">
        <f>"Chief Executive Officer"</f>
        <v>Chief Executive Officer</v>
      </c>
      <c r="E314" s="1"/>
      <c r="F314" t="str">
        <f>"Rinocom Consultants"</f>
        <v>Rinocom Consultants</v>
      </c>
      <c r="G314" t="str">
        <f>"1-3072064339"</f>
        <v>1-3072064339</v>
      </c>
      <c r="H314" t="str">
        <f>"414 Market St"</f>
        <v>414 Market St</v>
      </c>
      <c r="I314" t="str">
        <f>"  "</f>
        <v xml:space="preserve">  </v>
      </c>
      <c r="J314" t="str">
        <f>"Lithopolis"</f>
        <v>Lithopolis</v>
      </c>
      <c r="K314" t="str">
        <f>"OH"</f>
        <v>OH</v>
      </c>
      <c r="L314" t="str">
        <f>"43136"</f>
        <v>43136</v>
      </c>
      <c r="M314" t="str">
        <f>"SDVOSB|VOSB|Small Business|Small Disadvantaged Business"</f>
        <v>SDVOSB|VOSB|Small Business|Small Disadvantaged Business</v>
      </c>
      <c r="N314" t="str">
        <f>"https://rinocom.net/fedsupplier"</f>
        <v>https://rinocom.net/fedsupplier</v>
      </c>
    </row>
    <row r="315" spans="1:14" x14ac:dyDescent="0.35">
      <c r="A315" t="s">
        <v>382</v>
      </c>
      <c r="B315" t="s">
        <v>374</v>
      </c>
      <c r="C315" s="2" t="s">
        <v>383</v>
      </c>
      <c r="D315" t="str">
        <f>"Managing Partner"</f>
        <v>Managing Partner</v>
      </c>
      <c r="E315" s="1"/>
      <c r="F315" t="str">
        <f>"Intevations LLC"</f>
        <v>Intevations LLC</v>
      </c>
      <c r="G315" t="str">
        <f>"1-2029236279"</f>
        <v>1-2029236279</v>
      </c>
      <c r="H315" t="str">
        <f>"540 Montreal Ave"</f>
        <v>540 Montreal Ave</v>
      </c>
      <c r="I315" t="str">
        <f>"101"</f>
        <v>101</v>
      </c>
      <c r="J315" t="str">
        <f>"Melbourne"</f>
        <v>Melbourne</v>
      </c>
      <c r="K315" t="str">
        <f>"Florida"</f>
        <v>Florida</v>
      </c>
      <c r="L315" t="str">
        <f>"32935"</f>
        <v>32935</v>
      </c>
      <c r="M315" t="str">
        <f>"HUBZone"</f>
        <v>HUBZone</v>
      </c>
      <c r="N315" t="str">
        <f>"www.intevations.com"</f>
        <v>www.intevations.com</v>
      </c>
    </row>
    <row r="316" spans="1:14" x14ac:dyDescent="0.35">
      <c r="A316" t="s">
        <v>365</v>
      </c>
      <c r="B316" t="s">
        <v>364</v>
      </c>
      <c r="C316" s="2" t="s">
        <v>366</v>
      </c>
      <c r="D316" t="str">
        <f>"Business Development Manager"</f>
        <v>Business Development Manager</v>
      </c>
      <c r="E316" t="s">
        <v>34</v>
      </c>
      <c r="F316" t="str">
        <f>"Clear-Com LLC"</f>
        <v>Clear-Com LLC</v>
      </c>
      <c r="G316" t="str">
        <f>"1-5103376678"</f>
        <v>1-5103376678</v>
      </c>
      <c r="H316" t="str">
        <f>"1301 Marina Village Parkway"</f>
        <v>1301 Marina Village Parkway</v>
      </c>
      <c r="I316" t="str">
        <f>"Suite 105"</f>
        <v>Suite 105</v>
      </c>
      <c r="J316" t="str">
        <f>"Alameda"</f>
        <v>Alameda</v>
      </c>
      <c r="K316" t="str">
        <f>"CA"</f>
        <v>CA</v>
      </c>
      <c r="L316" t="str">
        <f>"94501"</f>
        <v>94501</v>
      </c>
      <c r="M316" t="str">
        <f>"Small Business"</f>
        <v>Small Business</v>
      </c>
      <c r="N316" t="str">
        <f>""</f>
        <v/>
      </c>
    </row>
    <row r="317" spans="1:14" x14ac:dyDescent="0.35">
      <c r="A317" t="s">
        <v>1083</v>
      </c>
      <c r="B317" t="s">
        <v>1082</v>
      </c>
      <c r="C317" s="2" t="s">
        <v>1084</v>
      </c>
      <c r="D317" t="str">
        <f>"Lead Associate"</f>
        <v>Lead Associate</v>
      </c>
      <c r="E317" t="s">
        <v>23</v>
      </c>
      <c r="F317" t="str">
        <f>"Booz Allen Hamilton"</f>
        <v>Booz Allen Hamilton</v>
      </c>
      <c r="G317" t="str">
        <f>"1-7325467108"</f>
        <v>1-7325467108</v>
      </c>
      <c r="H317" t="str">
        <f>"1-13 Christopher Way"</f>
        <v>1-13 Christopher Way</v>
      </c>
      <c r="I317" t="str">
        <f>"  "</f>
        <v xml:space="preserve">  </v>
      </c>
      <c r="J317" t="str">
        <f>"Eatontown"</f>
        <v>Eatontown</v>
      </c>
      <c r="K317" t="str">
        <f>"New Jersey"</f>
        <v>New Jersey</v>
      </c>
      <c r="L317" t="str">
        <f>"07724"</f>
        <v>07724</v>
      </c>
      <c r="M317" t="str">
        <f>"Large Business"</f>
        <v>Large Business</v>
      </c>
      <c r="N317" t="str">
        <f>"www.boozallen.com"</f>
        <v>www.boozallen.com</v>
      </c>
    </row>
    <row r="318" spans="1:14" x14ac:dyDescent="0.35">
      <c r="A318" t="s">
        <v>436</v>
      </c>
      <c r="B318" t="s">
        <v>435</v>
      </c>
      <c r="C318" s="2" t="s">
        <v>437</v>
      </c>
      <c r="D318" t="str">
        <f>"VP"</f>
        <v>VP</v>
      </c>
      <c r="E318" t="s">
        <v>22</v>
      </c>
      <c r="F318" t="str">
        <f>"Trilogy Federal LLC"</f>
        <v>Trilogy Federal LLC</v>
      </c>
      <c r="G318" t="str">
        <f>"1-202 602 8977"</f>
        <v>1-202 602 8977</v>
      </c>
      <c r="H318" t="str">
        <f>"1100 Wilson Blvd"</f>
        <v>1100 Wilson Blvd</v>
      </c>
      <c r="I318" t="str">
        <f>"Suite 1100"</f>
        <v>Suite 1100</v>
      </c>
      <c r="J318" t="str">
        <f>"Arlington"</f>
        <v>Arlington</v>
      </c>
      <c r="K318" t="str">
        <f>"VA"</f>
        <v>VA</v>
      </c>
      <c r="L318" t="str">
        <f>"22209"</f>
        <v>22209</v>
      </c>
      <c r="M318" t="str">
        <f>"SDVOSB|VOSB|Small Business"</f>
        <v>SDVOSB|VOSB|Small Business</v>
      </c>
      <c r="N318" t="str">
        <f>"www.trilogyfederal.com"</f>
        <v>www.trilogyfederal.com</v>
      </c>
    </row>
    <row r="319" spans="1:14" x14ac:dyDescent="0.35">
      <c r="A319" t="s">
        <v>153</v>
      </c>
      <c r="B319" t="s">
        <v>152</v>
      </c>
      <c r="C319" s="2" t="s">
        <v>154</v>
      </c>
      <c r="D319" t="str">
        <f>"Director"</f>
        <v>Director</v>
      </c>
      <c r="E319" t="s">
        <v>22</v>
      </c>
      <c r="F319" t="str">
        <f>"Paragon Micro"</f>
        <v>Paragon Micro</v>
      </c>
      <c r="G319" t="str">
        <f>"1-5713521952"</f>
        <v>1-5713521952</v>
      </c>
      <c r="H319" t="str">
        <f>"2 Corporate Drive"</f>
        <v>2 Corporate Drive</v>
      </c>
      <c r="I319" t="str">
        <f>"  "</f>
        <v xml:space="preserve">  </v>
      </c>
      <c r="J319" t="str">
        <f>"Lake Zurich"</f>
        <v>Lake Zurich</v>
      </c>
      <c r="K319" t="str">
        <f>"Illinois"</f>
        <v>Illinois</v>
      </c>
      <c r="L319" t="str">
        <f>"60047"</f>
        <v>60047</v>
      </c>
      <c r="M319" t="str">
        <f>"Small Business"</f>
        <v>Small Business</v>
      </c>
      <c r="N319" t="str">
        <f>"www.paragonmicro.com"</f>
        <v>www.paragonmicro.com</v>
      </c>
    </row>
    <row r="320" spans="1:14" x14ac:dyDescent="0.35">
      <c r="A320" t="s">
        <v>920</v>
      </c>
      <c r="B320" t="s">
        <v>919</v>
      </c>
      <c r="C320" s="2" t="s">
        <v>921</v>
      </c>
      <c r="D320" t="str">
        <f>"Director"</f>
        <v>Director</v>
      </c>
      <c r="E320" t="s">
        <v>23</v>
      </c>
      <c r="F320" t="str">
        <f>"Guidehouse"</f>
        <v>Guidehouse</v>
      </c>
      <c r="G320" t="str">
        <f>"1-703-618-8751"</f>
        <v>1-703-618-8751</v>
      </c>
      <c r="H320" t="str">
        <f>"1730 Pennsylvania Ave"</f>
        <v>1730 Pennsylvania Ave</v>
      </c>
      <c r="I320" t="str">
        <f>"  "</f>
        <v xml:space="preserve">  </v>
      </c>
      <c r="J320" t="str">
        <f>"Washington"</f>
        <v>Washington</v>
      </c>
      <c r="K320" t="str">
        <f>"DC"</f>
        <v>DC</v>
      </c>
      <c r="L320" t="str">
        <f>"20006"</f>
        <v>20006</v>
      </c>
      <c r="M320" t="str">
        <f>"Large Business"</f>
        <v>Large Business</v>
      </c>
      <c r="N320" t="str">
        <f>"www.guidehouse.com"</f>
        <v>www.guidehouse.com</v>
      </c>
    </row>
    <row r="321" spans="1:14" x14ac:dyDescent="0.35">
      <c r="A321" t="s">
        <v>351</v>
      </c>
      <c r="B321" t="s">
        <v>350</v>
      </c>
      <c r="C321" s="2" t="s">
        <v>352</v>
      </c>
      <c r="D321" t="str">
        <f>"CEO"</f>
        <v>CEO</v>
      </c>
      <c r="E321" s="1"/>
      <c r="F321" t="str">
        <f>"BDR Solutions LLC"</f>
        <v>BDR Solutions LLC</v>
      </c>
      <c r="G321" t="str">
        <f>"1-3013567943"</f>
        <v>1-3013567943</v>
      </c>
      <c r="H321" t="str">
        <f>"8403 Colesville Road Suite 1100"</f>
        <v>8403 Colesville Road Suite 1100</v>
      </c>
      <c r="I321" t="str">
        <f>"  "</f>
        <v xml:space="preserve">  </v>
      </c>
      <c r="J321" t="str">
        <f>"Sliver Spring"</f>
        <v>Sliver Spring</v>
      </c>
      <c r="K321" t="str">
        <f>"Maryland"</f>
        <v>Maryland</v>
      </c>
      <c r="L321" t="str">
        <f>"20910"</f>
        <v>20910</v>
      </c>
      <c r="M321" t="str">
        <f>"8(A)|SDVOSB|HUBZone|Small Business|Small Disadvantaged Business"</f>
        <v>8(A)|SDVOSB|HUBZone|Small Business|Small Disadvantaged Business</v>
      </c>
      <c r="N321" t="str">
        <f>"www.bdrsolutionsllc.com"</f>
        <v>www.bdrsolutionsllc.com</v>
      </c>
    </row>
    <row r="322" spans="1:14" x14ac:dyDescent="0.35">
      <c r="A322" t="s">
        <v>872</v>
      </c>
      <c r="B322" t="s">
        <v>871</v>
      </c>
      <c r="C322" s="2" t="s">
        <v>873</v>
      </c>
      <c r="D322" t="str">
        <f>"Business Development Analyst"</f>
        <v>Business Development Analyst</v>
      </c>
      <c r="E322" s="1"/>
      <c r="F322" t="str">
        <f>"Amida Technology solutions"</f>
        <v>Amida Technology solutions</v>
      </c>
      <c r="G322" t="str">
        <f>"1-7135028186"</f>
        <v>1-7135028186</v>
      </c>
      <c r="H322" t="str">
        <f>"1720 Street NW suite 700"</f>
        <v>1720 Street NW suite 700</v>
      </c>
      <c r="I322" t="str">
        <f>"  "</f>
        <v xml:space="preserve">  </v>
      </c>
      <c r="J322" t="str">
        <f>"Washington"</f>
        <v>Washington</v>
      </c>
      <c r="K322" t="str">
        <f>"District of Columbia"</f>
        <v>District of Columbia</v>
      </c>
      <c r="L322" t="str">
        <f>"20006"</f>
        <v>20006</v>
      </c>
      <c r="M322" t="str">
        <f>"Small Business"</f>
        <v>Small Business</v>
      </c>
      <c r="N322" t="str">
        <f>""</f>
        <v/>
      </c>
    </row>
    <row r="323" spans="1:14" x14ac:dyDescent="0.35">
      <c r="A323" t="s">
        <v>541</v>
      </c>
      <c r="B323" t="s">
        <v>540</v>
      </c>
      <c r="C323" s="2" t="s">
        <v>542</v>
      </c>
      <c r="D323" t="str">
        <f>"Managing Partner"</f>
        <v>Managing Partner</v>
      </c>
      <c r="E323" s="1"/>
      <c r="F323" t="str">
        <f>"Eleven09, LLC"</f>
        <v>Eleven09, LLC</v>
      </c>
      <c r="G323" t="str">
        <f>"1-214.738.0183"</f>
        <v>1-214.738.0183</v>
      </c>
      <c r="H323" t="str">
        <f>"15 Morning Glory Lane"</f>
        <v>15 Morning Glory Lane</v>
      </c>
      <c r="I323" t="str">
        <f>"  "</f>
        <v xml:space="preserve">  </v>
      </c>
      <c r="J323" t="str">
        <f>"Warwick"</f>
        <v>Warwick</v>
      </c>
      <c r="K323" t="str">
        <f>"NY"</f>
        <v>NY</v>
      </c>
      <c r="L323" t="str">
        <f>"10990"</f>
        <v>10990</v>
      </c>
      <c r="M323" t="str">
        <f>"SDVOSB"</f>
        <v>SDVOSB</v>
      </c>
      <c r="N323" t="str">
        <f>"www.eleven09.com "</f>
        <v xml:space="preserve">www.eleven09.com </v>
      </c>
    </row>
    <row r="324" spans="1:14" x14ac:dyDescent="0.35">
      <c r="A324" t="s">
        <v>52</v>
      </c>
      <c r="B324" t="s">
        <v>51</v>
      </c>
      <c r="C324" s="2" t="s">
        <v>53</v>
      </c>
      <c r="D324" t="str">
        <f>"Account Manager"</f>
        <v>Account Manager</v>
      </c>
      <c r="E324" t="s">
        <v>23</v>
      </c>
      <c r="F324" t="str">
        <f>"Nutanix"</f>
        <v>Nutanix</v>
      </c>
      <c r="G324" t="str">
        <f>"1-3013000842"</f>
        <v>1-3013000842</v>
      </c>
      <c r="H324" t="str">
        <f>"7900 Westpark Drive"</f>
        <v>7900 Westpark Drive</v>
      </c>
      <c r="I324" t="str">
        <f>"  "</f>
        <v xml:space="preserve">  </v>
      </c>
      <c r="J324" t="str">
        <f>"McLeand"</f>
        <v>McLeand</v>
      </c>
      <c r="K324" t="str">
        <f>"VA"</f>
        <v>VA</v>
      </c>
      <c r="L324" t="str">
        <f>"22102"</f>
        <v>22102</v>
      </c>
      <c r="M324" t="str">
        <f>"Large Business"</f>
        <v>Large Business</v>
      </c>
      <c r="N324" t="str">
        <f>"https://www.nutanix.com/"</f>
        <v>https://www.nutanix.com/</v>
      </c>
    </row>
    <row r="325" spans="1:14" x14ac:dyDescent="0.35">
      <c r="A325" t="s">
        <v>227</v>
      </c>
      <c r="B325" t="s">
        <v>149</v>
      </c>
      <c r="C325" s="2" t="s">
        <v>228</v>
      </c>
      <c r="D325" t="str">
        <f>"Principal Consultant"</f>
        <v>Principal Consultant</v>
      </c>
      <c r="E325" s="1"/>
      <c r="F325" t="str">
        <f>"The Russo Group"</f>
        <v>The Russo Group</v>
      </c>
      <c r="G325" t="str">
        <f>"1-908-902-4728"</f>
        <v>1-908-902-4728</v>
      </c>
      <c r="H325" t="str">
        <f>"17 Amalfi Ct"</f>
        <v>17 Amalfi Ct</v>
      </c>
      <c r="I325" t="str">
        <f>"  "</f>
        <v xml:space="preserve">  </v>
      </c>
      <c r="J325" t="str">
        <f>"Robbinsville"</f>
        <v>Robbinsville</v>
      </c>
      <c r="K325" t="str">
        <f>"NJ"</f>
        <v>NJ</v>
      </c>
      <c r="L325" t="str">
        <f>"08691"</f>
        <v>08691</v>
      </c>
      <c r="M325" t="str">
        <f>"Small Business"</f>
        <v>Small Business</v>
      </c>
      <c r="N325" t="str">
        <f>""</f>
        <v/>
      </c>
    </row>
    <row r="326" spans="1:14" x14ac:dyDescent="0.35">
      <c r="A326" t="s">
        <v>172</v>
      </c>
      <c r="B326" t="s">
        <v>171</v>
      </c>
      <c r="C326" s="2" t="s">
        <v>173</v>
      </c>
      <c r="D326" t="str">
        <f>"Consultant"</f>
        <v>Consultant</v>
      </c>
      <c r="E326" s="1"/>
      <c r="F326" t="str">
        <f>"Ferlise and Associates"</f>
        <v>Ferlise and Associates</v>
      </c>
      <c r="G326" t="str">
        <f>"1-7325511169"</f>
        <v>1-7325511169</v>
      </c>
      <c r="H326" t="str">
        <f>"254 South Shore Drive"</f>
        <v>254 South Shore Drive</v>
      </c>
      <c r="I326" t="str">
        <f>"  "</f>
        <v xml:space="preserve">  </v>
      </c>
      <c r="J326" t="str">
        <f>"Toms River"</f>
        <v>Toms River</v>
      </c>
      <c r="K326" t="str">
        <f>"NJ"</f>
        <v>NJ</v>
      </c>
      <c r="L326" t="str">
        <f>"08753"</f>
        <v>08753</v>
      </c>
      <c r="M326" t="str">
        <f>"Small Business"</f>
        <v>Small Business</v>
      </c>
      <c r="N326" t="str">
        <f>""</f>
        <v/>
      </c>
    </row>
    <row r="327" spans="1:14" x14ac:dyDescent="0.35">
      <c r="A327" t="s">
        <v>337</v>
      </c>
      <c r="B327" t="s">
        <v>336</v>
      </c>
      <c r="C327" s="2" t="s">
        <v>338</v>
      </c>
      <c r="D327" t="str">
        <f>"BD Manager"</f>
        <v>BD Manager</v>
      </c>
      <c r="E327" t="s">
        <v>23</v>
      </c>
      <c r="F327" t="str">
        <f>"Leidos"</f>
        <v>Leidos</v>
      </c>
      <c r="G327" t="str">
        <f>"1-5715279017"</f>
        <v>1-5715279017</v>
      </c>
      <c r="H327" t="str">
        <f>"1750 Presidents Street"</f>
        <v>1750 Presidents Street</v>
      </c>
      <c r="I327" t="str">
        <f>"  "</f>
        <v xml:space="preserve">  </v>
      </c>
      <c r="J327" t="str">
        <f>"Reston"</f>
        <v>Reston</v>
      </c>
      <c r="K327" t="str">
        <f>"VA"</f>
        <v>VA</v>
      </c>
      <c r="L327" t="str">
        <f>"20190"</f>
        <v>20190</v>
      </c>
      <c r="M327" t="str">
        <f>"Large Business"</f>
        <v>Large Business</v>
      </c>
      <c r="N327" t="str">
        <f>"https://www.leidos.com/"</f>
        <v>https://www.leidos.com/</v>
      </c>
    </row>
    <row r="328" spans="1:14" x14ac:dyDescent="0.35">
      <c r="A328" t="s">
        <v>590</v>
      </c>
      <c r="B328" t="s">
        <v>38</v>
      </c>
      <c r="C328" s="2" t="s">
        <v>591</v>
      </c>
      <c r="D328" t="str">
        <f>"Sr Vice President"</f>
        <v>Sr Vice President</v>
      </c>
      <c r="E328" s="1"/>
      <c r="F328" t="str">
        <f>"Andrew Morgan Consulting"</f>
        <v>Andrew Morgan Consulting</v>
      </c>
      <c r="G328" t="str">
        <f>"1-2025315030"</f>
        <v>1-2025315030</v>
      </c>
      <c r="H328" t="str">
        <f>"1629 K Street, NW, Suite 300"</f>
        <v>1629 K Street, NW, Suite 300</v>
      </c>
      <c r="I328" t="str">
        <f>"  "</f>
        <v xml:space="preserve">  </v>
      </c>
      <c r="J328" t="str">
        <f>"Washington"</f>
        <v>Washington</v>
      </c>
      <c r="K328" t="str">
        <f>"District of Columbia"</f>
        <v>District of Columbia</v>
      </c>
      <c r="L328" t="str">
        <f>"20006"</f>
        <v>20006</v>
      </c>
      <c r="M328" t="str">
        <f>"SDVOSB|HUBZone|Small Business"</f>
        <v>SDVOSB|HUBZone|Small Business</v>
      </c>
      <c r="N328" t="str">
        <f>"https://www.andrewmorganconsulting.com/"</f>
        <v>https://www.andrewmorganconsulting.com/</v>
      </c>
    </row>
    <row r="329" spans="1:14" x14ac:dyDescent="0.35">
      <c r="A329" t="s">
        <v>346</v>
      </c>
      <c r="B329" t="s">
        <v>345</v>
      </c>
      <c r="C329" s="2" t="s">
        <v>347</v>
      </c>
      <c r="D329" t="str">
        <f>"VP, Growth and Strategic Initiatives"</f>
        <v>VP, Growth and Strategic Initiatives</v>
      </c>
      <c r="E329" s="1"/>
      <c r="F329" t="str">
        <f>"Mind Computing"</f>
        <v>Mind Computing</v>
      </c>
      <c r="G329" t="str">
        <f>"1-7037271967"</f>
        <v>1-7037271967</v>
      </c>
      <c r="H329" t="str">
        <f>"PO Box 203"</f>
        <v>PO Box 203</v>
      </c>
      <c r="I329" t="str">
        <f>"  "</f>
        <v xml:space="preserve">  </v>
      </c>
      <c r="J329" t="str">
        <f>"East Thetford"</f>
        <v>East Thetford</v>
      </c>
      <c r="K329" t="str">
        <f>"VT"</f>
        <v>VT</v>
      </c>
      <c r="L329" t="str">
        <f>"05043"</f>
        <v>05043</v>
      </c>
      <c r="M329" t="str">
        <f>"SDVOSB|VOSB|HUBZone"</f>
        <v>SDVOSB|VOSB|HUBZone</v>
      </c>
      <c r="N329" t="str">
        <f>"https://mindcomputing.com/"</f>
        <v>https://mindcomputing.com/</v>
      </c>
    </row>
    <row r="330" spans="1:14" x14ac:dyDescent="0.35">
      <c r="A330" t="s">
        <v>543</v>
      </c>
      <c r="B330" t="s">
        <v>38</v>
      </c>
      <c r="C330" s="2" t="s">
        <v>544</v>
      </c>
      <c r="D330" t="str">
        <f>"sr account exec"</f>
        <v>sr account exec</v>
      </c>
      <c r="E330" s="1"/>
      <c r="F330" t="str">
        <f>"MongoDB"</f>
        <v>MongoDB</v>
      </c>
      <c r="G330" t="str">
        <f>"1-5712250028"</f>
        <v>1-5712250028</v>
      </c>
      <c r="H330" t="str">
        <f>"692 N Edgewood St"</f>
        <v>692 N Edgewood St</v>
      </c>
      <c r="I330" t="str">
        <f>"Arlington"</f>
        <v>Arlington</v>
      </c>
      <c r="J330" t="str">
        <f>"VA"</f>
        <v>VA</v>
      </c>
      <c r="K330" t="str">
        <f>"22201"</f>
        <v>22201</v>
      </c>
      <c r="L330" t="str">
        <f>"US"</f>
        <v>US</v>
      </c>
      <c r="M330" t="str">
        <f>"Large Business"</f>
        <v>Large Business</v>
      </c>
      <c r="N330" t="str">
        <f>""</f>
        <v/>
      </c>
    </row>
    <row r="331" spans="1:14" x14ac:dyDescent="0.35">
      <c r="A331" t="s">
        <v>1016</v>
      </c>
      <c r="B331" t="s">
        <v>283</v>
      </c>
      <c r="C331" s="2" t="s">
        <v>1017</v>
      </c>
      <c r="D331" t="str">
        <f>"RSM"</f>
        <v>RSM</v>
      </c>
      <c r="E331" t="s">
        <v>23</v>
      </c>
      <c r="F331" t="str">
        <f>"Splunk"</f>
        <v>Splunk</v>
      </c>
      <c r="G331" t="str">
        <f>"1-7162267890"</f>
        <v>1-7162267890</v>
      </c>
      <c r="H331" t="str">
        <f>"270 Brannan Street First Floor"</f>
        <v>270 Brannan Street First Floor</v>
      </c>
      <c r="I331" t="str">
        <f>"  "</f>
        <v xml:space="preserve">  </v>
      </c>
      <c r="J331" t="str">
        <f>"San Francisco"</f>
        <v>San Francisco</v>
      </c>
      <c r="K331" t="str">
        <f>"TX"</f>
        <v>TX</v>
      </c>
      <c r="L331" t="str">
        <f>"94107"</f>
        <v>94107</v>
      </c>
      <c r="M331" t="str">
        <f>"N/A"</f>
        <v>N/A</v>
      </c>
      <c r="N331" t="str">
        <f>"https://www.splunk.com/"</f>
        <v>https://www.splunk.com/</v>
      </c>
    </row>
    <row r="332" spans="1:14" x14ac:dyDescent="0.35">
      <c r="A332" t="s">
        <v>660</v>
      </c>
      <c r="B332" t="s">
        <v>384</v>
      </c>
      <c r="C332" s="2" t="s">
        <v>661</v>
      </c>
      <c r="D332" t="str">
        <f>"Account manager"</f>
        <v>Account manager</v>
      </c>
      <c r="E332" t="s">
        <v>23</v>
      </c>
      <c r="F332" t="str">
        <f>"Amazon"</f>
        <v>Amazon</v>
      </c>
      <c r="G332" t="str">
        <f>"1-5712940113"</f>
        <v>1-5712940113</v>
      </c>
      <c r="H332" t="str">
        <f>"11 Cushing Ave"</f>
        <v>11 Cushing Ave</v>
      </c>
      <c r="I332" t="str">
        <f>"Annapolis "</f>
        <v xml:space="preserve">Annapolis </v>
      </c>
      <c r="J332" t="str">
        <f>"Md"</f>
        <v>Md</v>
      </c>
      <c r="K332" t="str">
        <f>"21403"</f>
        <v>21403</v>
      </c>
      <c r="L332" t="str">
        <f>"Us"</f>
        <v>Us</v>
      </c>
      <c r="M332" t="str">
        <f>"Large Business"</f>
        <v>Large Business</v>
      </c>
      <c r="N332" t="str">
        <f>""</f>
        <v/>
      </c>
    </row>
    <row r="333" spans="1:14" x14ac:dyDescent="0.35">
      <c r="A333" t="s">
        <v>438</v>
      </c>
      <c r="B333" t="s">
        <v>97</v>
      </c>
      <c r="C333" s="2" t="s">
        <v>439</v>
      </c>
      <c r="D333" t="str">
        <f>"President"</f>
        <v>President</v>
      </c>
      <c r="E333" s="1"/>
      <c r="F333" t="str">
        <f>"Cogent Solutions, Inc"</f>
        <v>Cogent Solutions, Inc</v>
      </c>
      <c r="G333" t="str">
        <f>"1-2402056329"</f>
        <v>1-2402056329</v>
      </c>
      <c r="H333" t="str">
        <f>"12225 Amos Lane"</f>
        <v>12225 Amos Lane</v>
      </c>
      <c r="I333" t="str">
        <f>"Suite 303"</f>
        <v>Suite 303</v>
      </c>
      <c r="J333" t="str">
        <f>"Fredericksburg"</f>
        <v>Fredericksburg</v>
      </c>
      <c r="K333" t="str">
        <f>"VA"</f>
        <v>VA</v>
      </c>
      <c r="L333" t="str">
        <f>"22407"</f>
        <v>22407</v>
      </c>
      <c r="M333" t="str">
        <f>"SDVOSB|VOSB|HUBZone|Small Business|Small Disadvantaged Business"</f>
        <v>SDVOSB|VOSB|HUBZone|Small Business|Small Disadvantaged Business</v>
      </c>
      <c r="N333" t="str">
        <f>"www.cogent-2000.com"</f>
        <v>www.cogent-2000.com</v>
      </c>
    </row>
    <row r="334" spans="1:14" x14ac:dyDescent="0.35">
      <c r="A334" t="s">
        <v>957</v>
      </c>
      <c r="B334" t="s">
        <v>391</v>
      </c>
      <c r="C334" s="2" t="s">
        <v>958</v>
      </c>
      <c r="D334" t="str">
        <f>"Vice President"</f>
        <v>Vice President</v>
      </c>
      <c r="E334" t="s">
        <v>23</v>
      </c>
      <c r="F334" t="str">
        <f>"Maximus"</f>
        <v>Maximus</v>
      </c>
      <c r="G334" t="str">
        <f>"1-407-346-2877"</f>
        <v>1-407-346-2877</v>
      </c>
      <c r="H334" t="str">
        <f>"6212 Heirloom Place"</f>
        <v>6212 Heirloom Place</v>
      </c>
      <c r="I334" t="str">
        <f>"  "</f>
        <v xml:space="preserve">  </v>
      </c>
      <c r="J334" t="str">
        <f>"Apollo Beach, FL"</f>
        <v>Apollo Beach, FL</v>
      </c>
      <c r="K334" t="str">
        <f>"Florida"</f>
        <v>Florida</v>
      </c>
      <c r="L334" t="str">
        <f>"33572"</f>
        <v>33572</v>
      </c>
      <c r="M334" t="str">
        <f>"Large Business"</f>
        <v>Large Business</v>
      </c>
      <c r="N334" t="str">
        <f>""</f>
        <v/>
      </c>
    </row>
    <row r="335" spans="1:14" x14ac:dyDescent="0.35">
      <c r="A335" t="s">
        <v>516</v>
      </c>
      <c r="B335" t="s">
        <v>515</v>
      </c>
      <c r="C335" s="2" t="s">
        <v>517</v>
      </c>
      <c r="D335" t="str">
        <f>"VP-Growth"</f>
        <v>VP-Growth</v>
      </c>
      <c r="E335" s="1"/>
      <c r="F335" t="str">
        <f>"IronArch Technology"</f>
        <v>IronArch Technology</v>
      </c>
      <c r="G335" t="str">
        <f>"1-7033897745"</f>
        <v>1-7033897745</v>
      </c>
      <c r="H335" t="str">
        <f>"5301 Lindsay st"</f>
        <v>5301 Lindsay st</v>
      </c>
      <c r="I335" t="str">
        <f>"  "</f>
        <v xml:space="preserve">  </v>
      </c>
      <c r="J335" t="str">
        <f>"Fairfax"</f>
        <v>Fairfax</v>
      </c>
      <c r="K335" t="str">
        <f>"VA"</f>
        <v>VA</v>
      </c>
      <c r="L335" t="str">
        <f>"22032"</f>
        <v>22032</v>
      </c>
      <c r="M335" t="str">
        <f>"SDVOSB"</f>
        <v>SDVOSB</v>
      </c>
      <c r="N335" t="str">
        <f>""</f>
        <v/>
      </c>
    </row>
    <row r="336" spans="1:14" x14ac:dyDescent="0.35">
      <c r="A336" t="s">
        <v>626</v>
      </c>
      <c r="B336" t="s">
        <v>385</v>
      </c>
      <c r="C336" s="2" t="s">
        <v>627</v>
      </c>
      <c r="D336" t="str">
        <f>"VA Business Manager"</f>
        <v>VA Business Manager</v>
      </c>
      <c r="E336" t="s">
        <v>23</v>
      </c>
      <c r="F336" t="str">
        <f>"Siemens Healthineers"</f>
        <v>Siemens Healthineers</v>
      </c>
      <c r="G336" t="str">
        <f>"1-6155094376"</f>
        <v>1-6155094376</v>
      </c>
      <c r="H336" t="str">
        <f>"40 Liberty Blvd"</f>
        <v>40 Liberty Blvd</v>
      </c>
      <c r="I336" t="str">
        <f>"  "</f>
        <v xml:space="preserve">  </v>
      </c>
      <c r="J336" t="str">
        <f>"Malvern"</f>
        <v>Malvern</v>
      </c>
      <c r="K336" t="str">
        <f>"PA"</f>
        <v>PA</v>
      </c>
      <c r="L336" t="str">
        <f>"19355"</f>
        <v>19355</v>
      </c>
      <c r="M336" t="str">
        <f>"Large Business"</f>
        <v>Large Business</v>
      </c>
      <c r="N336" t="str">
        <f>""</f>
        <v/>
      </c>
    </row>
    <row r="337" spans="1:14" x14ac:dyDescent="0.35">
      <c r="A337" t="s">
        <v>727</v>
      </c>
      <c r="B337" t="s">
        <v>726</v>
      </c>
      <c r="C337" s="2" t="s">
        <v>728</v>
      </c>
      <c r="D337" t="str">
        <f>"Project Manager"</f>
        <v>Project Manager</v>
      </c>
      <c r="E337" s="1"/>
      <c r="F337" t="str">
        <f>"CW-LTS"</f>
        <v>CW-LTS</v>
      </c>
      <c r="G337" t="str">
        <f>"1-7197224621"</f>
        <v>1-7197224621</v>
      </c>
      <c r="H337" t="str">
        <f>"811 Vermont Ave., NW"</f>
        <v>811 Vermont Ave., NW</v>
      </c>
      <c r="I337" t="str">
        <f>"  "</f>
        <v xml:space="preserve">  </v>
      </c>
      <c r="J337" t="str">
        <f>"Washington"</f>
        <v>Washington</v>
      </c>
      <c r="K337" t="str">
        <f>"DC"</f>
        <v>DC</v>
      </c>
      <c r="L337" t="str">
        <f>"20001"</f>
        <v>20001</v>
      </c>
      <c r="M337" t="str">
        <f>"SDVOSB"</f>
        <v>SDVOSB</v>
      </c>
      <c r="N337" t="str">
        <f>""</f>
        <v/>
      </c>
    </row>
    <row r="338" spans="1:14" x14ac:dyDescent="0.35">
      <c r="A338" t="s">
        <v>348</v>
      </c>
      <c r="B338" t="s">
        <v>200</v>
      </c>
      <c r="C338" s="2" t="s">
        <v>349</v>
      </c>
      <c r="D338" t="str">
        <f>"Sr. Capture Manager"</f>
        <v>Sr. Capture Manager</v>
      </c>
      <c r="E338" t="s">
        <v>22</v>
      </c>
      <c r="F338" t="str">
        <f>"VetsEZ"</f>
        <v>VetsEZ</v>
      </c>
      <c r="G338" t="str">
        <f>"1-4074153379"</f>
        <v>1-4074153379</v>
      </c>
      <c r="H338" t="str">
        <f>"11608 Quarterfield Drive"</f>
        <v>11608 Quarterfield Drive</v>
      </c>
      <c r="I338" t="str">
        <f>"  "</f>
        <v xml:space="preserve">  </v>
      </c>
      <c r="J338" t="str">
        <f>"Ellicott City"</f>
        <v>Ellicott City</v>
      </c>
      <c r="K338" t="str">
        <f>"MD"</f>
        <v>MD</v>
      </c>
      <c r="L338" t="str">
        <f>"21042"</f>
        <v>21042</v>
      </c>
      <c r="M338" t="str">
        <f>"SDVOSB|VOSB|Small Business"</f>
        <v>SDVOSB|VOSB|Small Business</v>
      </c>
      <c r="N338" t="str">
        <f>"vetsez.com"</f>
        <v>vetsez.com</v>
      </c>
    </row>
    <row r="339" spans="1:14" x14ac:dyDescent="0.35">
      <c r="A339" t="s">
        <v>326</v>
      </c>
      <c r="B339" t="s">
        <v>38</v>
      </c>
      <c r="C339" s="2" t="s">
        <v>327</v>
      </c>
      <c r="D339" t="str">
        <f>"President &amp; CEO"</f>
        <v>President &amp; CEO</v>
      </c>
      <c r="E339" s="1"/>
      <c r="F339" t="str">
        <f>"Veterans Alliance Resourcing, Inc."</f>
        <v>Veterans Alliance Resourcing, Inc.</v>
      </c>
      <c r="G339" t="str">
        <f>"1-9403001749"</f>
        <v>1-9403001749</v>
      </c>
      <c r="H339" t="str">
        <f>"12805 Beltex Drive"</f>
        <v>12805 Beltex Drive</v>
      </c>
      <c r="I339" t="str">
        <f>"Unit C-3"</f>
        <v>Unit C-3</v>
      </c>
      <c r="J339" t="str">
        <f>"Manor"</f>
        <v>Manor</v>
      </c>
      <c r="K339" t="str">
        <f>"Texas"</f>
        <v>Texas</v>
      </c>
      <c r="L339" t="str">
        <f>"78653"</f>
        <v>78653</v>
      </c>
      <c r="M339" t="str">
        <f>"SDVOSB|VOSB"</f>
        <v>SDVOSB|VOSB</v>
      </c>
      <c r="N339" t="str">
        <f>"https://www.itadvets.com/"</f>
        <v>https://www.itadvets.com/</v>
      </c>
    </row>
    <row r="340" spans="1:14" x14ac:dyDescent="0.35">
      <c r="A340" t="s">
        <v>76</v>
      </c>
      <c r="B340" t="s">
        <v>774</v>
      </c>
      <c r="C340" s="2" t="s">
        <v>1031</v>
      </c>
      <c r="D340" t="str">
        <f>"Program Manager"</f>
        <v>Program Manager</v>
      </c>
      <c r="E340" s="1"/>
      <c r="F340" t="str">
        <f>"Signature Consulting Group"</f>
        <v>Signature Consulting Group</v>
      </c>
      <c r="G340" t="str">
        <f>"1-4438392049"</f>
        <v>1-4438392049</v>
      </c>
      <c r="H340" t="str">
        <f>"7108 Ambassador Rd"</f>
        <v>7108 Ambassador Rd</v>
      </c>
      <c r="I340" t="str">
        <f>"#150"</f>
        <v>#150</v>
      </c>
      <c r="J340" t="str">
        <f>"Windsor Mill"</f>
        <v>Windsor Mill</v>
      </c>
      <c r="K340" t="str">
        <f>"Maryland"</f>
        <v>Maryland</v>
      </c>
      <c r="L340" t="str">
        <f>"21244"</f>
        <v>21244</v>
      </c>
      <c r="M340" t="str">
        <f>"8(A)|WOSB|Small Business"</f>
        <v>8(A)|WOSB|Small Business</v>
      </c>
      <c r="N340" t="str">
        <f>"https://www.sghealthit.com/"</f>
        <v>https://www.sghealthit.com/</v>
      </c>
    </row>
    <row r="341" spans="1:14" x14ac:dyDescent="0.35">
      <c r="A341" t="s">
        <v>781</v>
      </c>
      <c r="B341" t="s">
        <v>780</v>
      </c>
      <c r="C341" s="2" t="s">
        <v>782</v>
      </c>
      <c r="D341" t="str">
        <f>"Business Support Analyst"</f>
        <v>Business Support Analyst</v>
      </c>
      <c r="E341" s="1"/>
      <c r="F341" t="str">
        <f>"Oxley Enterprises, Inc."</f>
        <v>Oxley Enterprises, Inc.</v>
      </c>
      <c r="G341" t="str">
        <f>"1-7274212846"</f>
        <v>1-7274212846</v>
      </c>
      <c r="H341" t="str">
        <f>"20 Plantation Dr #131"</f>
        <v>20 Plantation Dr #131</v>
      </c>
      <c r="I341" t="str">
        <f>"  "</f>
        <v xml:space="preserve">  </v>
      </c>
      <c r="J341" t="str">
        <f>"Fredericksburg"</f>
        <v>Fredericksburg</v>
      </c>
      <c r="K341" t="str">
        <f>"Virginia (VA)"</f>
        <v>Virginia (VA)</v>
      </c>
      <c r="L341" t="str">
        <f>"22406"</f>
        <v>22406</v>
      </c>
      <c r="M341" t="str">
        <f>"8(A)|SDVOSB|HUBZone|WOSB|Small Business"</f>
        <v>8(A)|SDVOSB|HUBZone|WOSB|Small Business</v>
      </c>
      <c r="N341" t="str">
        <f>""</f>
        <v/>
      </c>
    </row>
    <row r="342" spans="1:14" x14ac:dyDescent="0.35">
      <c r="A342" t="s">
        <v>685</v>
      </c>
      <c r="B342" t="s">
        <v>684</v>
      </c>
      <c r="C342" s="2" t="s">
        <v>686</v>
      </c>
      <c r="D342" t="str">
        <f>"Health IT Portfolio Director"</f>
        <v>Health IT Portfolio Director</v>
      </c>
      <c r="E342" s="1"/>
      <c r="F342" t="str">
        <f>"DDC IT Services"</f>
        <v>DDC IT Services</v>
      </c>
      <c r="G342" t="str">
        <f>"1-9374290461"</f>
        <v>1-9374290461</v>
      </c>
      <c r="H342" t="str">
        <f>"1430 Oak Court Ste 202"</f>
        <v>1430 Oak Court Ste 202</v>
      </c>
      <c r="I342" t="str">
        <f>"  "</f>
        <v xml:space="preserve">  </v>
      </c>
      <c r="J342" t="str">
        <f>"Beavercreek"</f>
        <v>Beavercreek</v>
      </c>
      <c r="K342" t="str">
        <f>"OH"</f>
        <v>OH</v>
      </c>
      <c r="L342" t="str">
        <f>"45430"</f>
        <v>45430</v>
      </c>
      <c r="M342" t="str">
        <f>"8(A)|Small Disadvantaged Business"</f>
        <v>8(A)|Small Disadvantaged Business</v>
      </c>
      <c r="N342" t="str">
        <f>"www.ddc-dine.com"</f>
        <v>www.ddc-dine.com</v>
      </c>
    </row>
    <row r="343" spans="1:14" x14ac:dyDescent="0.35">
      <c r="A343" t="s">
        <v>74</v>
      </c>
      <c r="B343" t="s">
        <v>73</v>
      </c>
      <c r="C343" s="2" t="s">
        <v>75</v>
      </c>
      <c r="D343" t="str">
        <f>"Systems Engineer"</f>
        <v>Systems Engineer</v>
      </c>
      <c r="E343" t="s">
        <v>22</v>
      </c>
      <c r="F343" t="str">
        <f>"SeKON Enterprise, Inc."</f>
        <v>SeKON Enterprise, Inc.</v>
      </c>
      <c r="G343" t="str">
        <f>"1-7039017000"</f>
        <v>1-7039017000</v>
      </c>
      <c r="H343" t="str">
        <f>"11480 Commerce Park Drive"</f>
        <v>11480 Commerce Park Drive</v>
      </c>
      <c r="I343" t="str">
        <f>"Suite 100"</f>
        <v>Suite 100</v>
      </c>
      <c r="J343" t="str">
        <f>"Reston"</f>
        <v>Reston</v>
      </c>
      <c r="K343" t="str">
        <f>"VA"</f>
        <v>VA</v>
      </c>
      <c r="L343" t="str">
        <f>"20191"</f>
        <v>20191</v>
      </c>
      <c r="M343" t="str">
        <f>"WOSB"</f>
        <v>WOSB</v>
      </c>
      <c r="N343" t="str">
        <f>"www.sekon.com"</f>
        <v>www.sekon.com</v>
      </c>
    </row>
    <row r="344" spans="1:14" x14ac:dyDescent="0.35">
      <c r="A344" t="s">
        <v>167</v>
      </c>
      <c r="B344" t="s">
        <v>166</v>
      </c>
      <c r="C344" s="2" t="s">
        <v>168</v>
      </c>
      <c r="D344" t="str">
        <f>"President"</f>
        <v>President</v>
      </c>
      <c r="E344" s="1"/>
      <c r="F344" t="str">
        <f>"MindLeaf Tech. Inc"</f>
        <v>MindLeaf Tech. Inc</v>
      </c>
      <c r="G344" t="str">
        <f>"1-7812751845"</f>
        <v>1-7812751845</v>
      </c>
      <c r="H344" t="str">
        <f>"Connector Park"</f>
        <v>Connector Park</v>
      </c>
      <c r="I344" t="str">
        <f>"59 Lowe's Way, Ste 104"</f>
        <v>59 Lowe's Way, Ste 104</v>
      </c>
      <c r="J344" t="str">
        <f>"Lowell"</f>
        <v>Lowell</v>
      </c>
      <c r="K344" t="str">
        <f>"MA"</f>
        <v>MA</v>
      </c>
      <c r="L344" t="str">
        <f>"01851"</f>
        <v>01851</v>
      </c>
      <c r="M344" t="str">
        <f>"Small Business"</f>
        <v>Small Business</v>
      </c>
      <c r="N344" t="str">
        <f>"WWW.MINDLEAF.COM"</f>
        <v>WWW.MINDLEAF.COM</v>
      </c>
    </row>
    <row r="345" spans="1:14" x14ac:dyDescent="0.35">
      <c r="A345" t="s">
        <v>303</v>
      </c>
      <c r="B345" t="s">
        <v>302</v>
      </c>
      <c r="C345" s="2" t="s">
        <v>304</v>
      </c>
      <c r="D345" t="str">
        <f>"VP"</f>
        <v>VP</v>
      </c>
      <c r="E345" s="1"/>
      <c r="F345" t="str">
        <f>"B3 Group"</f>
        <v>B3 Group</v>
      </c>
      <c r="G345" t="str">
        <f>"1-5713343340"</f>
        <v>1-5713343340</v>
      </c>
      <c r="H345" t="str">
        <f>"13241 Woodland Park Rd"</f>
        <v>13241 Woodland Park Rd</v>
      </c>
      <c r="I345" t="str">
        <f>"Suite 500"</f>
        <v>Suite 500</v>
      </c>
      <c r="J345" t="str">
        <f>"Herndon"</f>
        <v>Herndon</v>
      </c>
      <c r="K345" t="str">
        <f>"Virginia"</f>
        <v>Virginia</v>
      </c>
      <c r="L345" t="str">
        <f>"20171"</f>
        <v>20171</v>
      </c>
      <c r="M345" t="str">
        <f>"Large Business"</f>
        <v>Large Business</v>
      </c>
      <c r="N345" t="str">
        <f>""</f>
        <v/>
      </c>
    </row>
    <row r="346" spans="1:14" x14ac:dyDescent="0.35">
      <c r="A346" t="s">
        <v>762</v>
      </c>
      <c r="B346" t="s">
        <v>761</v>
      </c>
      <c r="C346" s="2" t="s">
        <v>763</v>
      </c>
      <c r="D346" t="str">
        <f>"Director of Growth"</f>
        <v>Director of Growth</v>
      </c>
      <c r="E346" s="1"/>
      <c r="F346" t="str">
        <f>"Greenbrier Government Solutions, Inc."</f>
        <v>Greenbrier Government Solutions, Inc.</v>
      </c>
      <c r="G346" t="str">
        <f>"1-13042065737"</f>
        <v>1-13042065737</v>
      </c>
      <c r="H346" t="str">
        <f>"228 Kopperston Road"</f>
        <v>228 Kopperston Road</v>
      </c>
      <c r="I346" t="str">
        <f>"  "</f>
        <v xml:space="preserve">  </v>
      </c>
      <c r="J346" t="str">
        <f>"Oceana"</f>
        <v>Oceana</v>
      </c>
      <c r="K346" t="str">
        <f>"WV"</f>
        <v>WV</v>
      </c>
      <c r="L346" t="str">
        <f>"24870"</f>
        <v>24870</v>
      </c>
      <c r="M346" t="str">
        <f>"8(A)|SDVOSB|VOSB|HUBZone|Small Business|Small Disadvantaged Business"</f>
        <v>8(A)|SDVOSB|VOSB|HUBZone|Small Business|Small Disadvantaged Business</v>
      </c>
      <c r="N346" t="str">
        <f>"https://ggswv.com/"</f>
        <v>https://ggswv.com/</v>
      </c>
    </row>
    <row r="347" spans="1:14" x14ac:dyDescent="0.35">
      <c r="A347" t="s">
        <v>47</v>
      </c>
      <c r="B347" t="s">
        <v>46</v>
      </c>
      <c r="C347" s="2" t="s">
        <v>48</v>
      </c>
      <c r="D347" t="str">
        <f>"Business Development Representative"</f>
        <v>Business Development Representative</v>
      </c>
      <c r="E347" t="s">
        <v>23</v>
      </c>
      <c r="F347" t="str">
        <f>"Adobe"</f>
        <v>Adobe</v>
      </c>
      <c r="G347" t="str">
        <f>"1-5713299136"</f>
        <v>1-5713299136</v>
      </c>
      <c r="H347" t="str">
        <f>"818 Prince St. Apt 1"</f>
        <v>818 Prince St. Apt 1</v>
      </c>
      <c r="I347" t="str">
        <f>"  "</f>
        <v xml:space="preserve">  </v>
      </c>
      <c r="J347" t="str">
        <f>"Alexandria"</f>
        <v>Alexandria</v>
      </c>
      <c r="K347" t="str">
        <f>"VA"</f>
        <v>VA</v>
      </c>
      <c r="L347" t="str">
        <f>"22314"</f>
        <v>22314</v>
      </c>
      <c r="M347" t="str">
        <f>"Large Business"</f>
        <v>Large Business</v>
      </c>
      <c r="N347" t="str">
        <f>""</f>
        <v/>
      </c>
    </row>
    <row r="348" spans="1:14" x14ac:dyDescent="0.35">
      <c r="A348" t="s">
        <v>162</v>
      </c>
      <c r="B348" t="s">
        <v>1070</v>
      </c>
      <c r="C348" s="2" t="s">
        <v>1071</v>
      </c>
      <c r="D348" t="str">
        <f>"CEO"</f>
        <v>CEO</v>
      </c>
      <c r="E348" s="1"/>
      <c r="F348" t="str">
        <f>"Pocket MD Corp."</f>
        <v>Pocket MD Corp.</v>
      </c>
      <c r="G348" t="str">
        <f>"1-6138944819"</f>
        <v>1-6138944819</v>
      </c>
      <c r="H348" t="str">
        <f>"3 Bosworth Ave."</f>
        <v>3 Bosworth Ave.</v>
      </c>
      <c r="I348" t="str">
        <f>"  "</f>
        <v xml:space="preserve">  </v>
      </c>
      <c r="J348" t="str">
        <f>"Etobicoke"</f>
        <v>Etobicoke</v>
      </c>
      <c r="K348" t="str">
        <f>"ON"</f>
        <v>ON</v>
      </c>
      <c r="L348" t="str">
        <f>"M9A 4T4"</f>
        <v>M9A 4T4</v>
      </c>
      <c r="M348" t="str">
        <f>"Small Business"</f>
        <v>Small Business</v>
      </c>
      <c r="N348" t="str">
        <f>"www.pocketmd.ca"</f>
        <v>www.pocketmd.ca</v>
      </c>
    </row>
    <row r="349" spans="1:14" x14ac:dyDescent="0.35">
      <c r="A349" t="s">
        <v>162</v>
      </c>
      <c r="B349" t="s">
        <v>161</v>
      </c>
      <c r="C349" s="2" t="s">
        <v>163</v>
      </c>
      <c r="D349" t="str">
        <f>"COO"</f>
        <v>COO</v>
      </c>
      <c r="E349" s="1"/>
      <c r="F349" t="str">
        <f>"A Square Group"</f>
        <v>A Square Group</v>
      </c>
      <c r="G349" t="str">
        <f>"1-2402837475"</f>
        <v>1-2402837475</v>
      </c>
      <c r="H349" t="str">
        <f>"7101 Guilford Drive"</f>
        <v>7101 Guilford Drive</v>
      </c>
      <c r="I349" t="str">
        <f>"Suite 100"</f>
        <v>Suite 100</v>
      </c>
      <c r="J349" t="str">
        <f>"Frederick"</f>
        <v>Frederick</v>
      </c>
      <c r="K349" t="str">
        <f>"MD"</f>
        <v>MD</v>
      </c>
      <c r="L349" t="str">
        <f>"21704"</f>
        <v>21704</v>
      </c>
      <c r="M349" t="str">
        <f>"WOSB|Small Disadvantaged Business"</f>
        <v>WOSB|Small Disadvantaged Business</v>
      </c>
      <c r="N349" t="str">
        <f>"WWW.A2-G.COM"</f>
        <v>WWW.A2-G.COM</v>
      </c>
    </row>
    <row r="350" spans="1:14" x14ac:dyDescent="0.35">
      <c r="A350" t="s">
        <v>296</v>
      </c>
      <c r="B350" t="s">
        <v>245</v>
      </c>
      <c r="C350" s="2" t="s">
        <v>297</v>
      </c>
      <c r="D350" t="str">
        <f>"Field Marketing"</f>
        <v>Field Marketing</v>
      </c>
      <c r="E350" t="s">
        <v>23</v>
      </c>
      <c r="F350" t="str">
        <f>"IBM"</f>
        <v>IBM</v>
      </c>
      <c r="G350" t="str">
        <f>"1-7039891989"</f>
        <v>1-7039891989</v>
      </c>
      <c r="H350" t="str">
        <f>"600 14th St NW Hamilton Square Floors 2"</f>
        <v>600 14th St NW Hamilton Square Floors 2</v>
      </c>
      <c r="I350" t="str">
        <f>"  "</f>
        <v xml:space="preserve">  </v>
      </c>
      <c r="J350" t="str">
        <f>"Washington"</f>
        <v>Washington</v>
      </c>
      <c r="K350" t="str">
        <f>"DC"</f>
        <v>DC</v>
      </c>
      <c r="L350" t="str">
        <f>"20005"</f>
        <v>20005</v>
      </c>
      <c r="M350" t="str">
        <f>"Large Business"</f>
        <v>Large Business</v>
      </c>
      <c r="N350" t="str">
        <f>"ibm.com"</f>
        <v>ibm.com</v>
      </c>
    </row>
    <row r="351" spans="1:14" x14ac:dyDescent="0.35">
      <c r="A351" t="s">
        <v>883</v>
      </c>
      <c r="B351" t="s">
        <v>116</v>
      </c>
      <c r="C351" s="2" t="s">
        <v>884</v>
      </c>
      <c r="D351" t="str">
        <f>"Program Manager Products"</f>
        <v>Program Manager Products</v>
      </c>
      <c r="E351" s="1"/>
      <c r="F351" t="str">
        <f>"Sierra7 Inc."</f>
        <v>Sierra7 Inc.</v>
      </c>
      <c r="G351" t="str">
        <f>"1-2023918703"</f>
        <v>1-2023918703</v>
      </c>
      <c r="H351" t="str">
        <f>"3190 Fairview Park Drive, Suite 350"</f>
        <v>3190 Fairview Park Drive, Suite 350</v>
      </c>
      <c r="I351" t="str">
        <f>"  "</f>
        <v xml:space="preserve">  </v>
      </c>
      <c r="J351" t="str">
        <f>"Falls Church"</f>
        <v>Falls Church</v>
      </c>
      <c r="K351" t="str">
        <f>"Virginia"</f>
        <v>Virginia</v>
      </c>
      <c r="L351" t="str">
        <f>"22042"</f>
        <v>22042</v>
      </c>
      <c r="M351" t="str">
        <f>"SDVOSB|VOSB"</f>
        <v>SDVOSB|VOSB</v>
      </c>
      <c r="N351" t="str">
        <f>"sierra7.com"</f>
        <v>sierra7.com</v>
      </c>
    </row>
    <row r="352" spans="1:14" x14ac:dyDescent="0.35">
      <c r="A352" t="s">
        <v>104</v>
      </c>
      <c r="B352" t="s">
        <v>103</v>
      </c>
      <c r="C352" s="2" t="s">
        <v>105</v>
      </c>
      <c r="D352" t="str">
        <f>"Director"</f>
        <v>Director</v>
      </c>
      <c r="E352" s="1"/>
      <c r="F352" t="str">
        <f>"JJR Solutions, LLC"</f>
        <v>JJR Solutions, LLC</v>
      </c>
      <c r="G352" t="str">
        <f>"1-9374012035"</f>
        <v>1-9374012035</v>
      </c>
      <c r="H352" t="str">
        <f>"607 E 3rd Street"</f>
        <v>607 E 3rd Street</v>
      </c>
      <c r="I352" t="str">
        <f>"Suite 400"</f>
        <v>Suite 400</v>
      </c>
      <c r="J352" t="str">
        <f>"Dayton"</f>
        <v>Dayton</v>
      </c>
      <c r="K352" t="str">
        <f>"OH"</f>
        <v>OH</v>
      </c>
      <c r="L352" t="str">
        <f>"45402"</f>
        <v>45402</v>
      </c>
      <c r="M352" t="str">
        <f>"SDVOSB"</f>
        <v>SDVOSB</v>
      </c>
      <c r="N352" t="str">
        <f>"www.jjrsolutions.com"</f>
        <v>www.jjrsolutions.com</v>
      </c>
    </row>
    <row r="353" spans="1:14" x14ac:dyDescent="0.35">
      <c r="A353" t="s">
        <v>931</v>
      </c>
      <c r="B353" t="s">
        <v>264</v>
      </c>
      <c r="C353" s="2" t="s">
        <v>932</v>
      </c>
      <c r="D353" t="str">
        <f>"Federal Sales Director"</f>
        <v>Federal Sales Director</v>
      </c>
      <c r="E353" s="1"/>
      <c r="F353" t="str">
        <f>"MetTel Corporation"</f>
        <v>MetTel Corporation</v>
      </c>
      <c r="G353" t="str">
        <f>"1-7033070139"</f>
        <v>1-7033070139</v>
      </c>
      <c r="H353" t="str">
        <f>"1090 Vermont Avenue"</f>
        <v>1090 Vermont Avenue</v>
      </c>
      <c r="I353" t="str">
        <f>"#1100"</f>
        <v>#1100</v>
      </c>
      <c r="J353" t="str">
        <f>"Washington"</f>
        <v>Washington</v>
      </c>
      <c r="K353" t="str">
        <f>"DC"</f>
        <v>DC</v>
      </c>
      <c r="L353" t="str">
        <f>"20005"</f>
        <v>20005</v>
      </c>
      <c r="M353" t="str">
        <f>"Small Business"</f>
        <v>Small Business</v>
      </c>
      <c r="N353" t="str">
        <f>"mettel.net"</f>
        <v>mettel.net</v>
      </c>
    </row>
    <row r="354" spans="1:14" x14ac:dyDescent="0.35">
      <c r="A354" t="s">
        <v>131</v>
      </c>
      <c r="B354" t="s">
        <v>480</v>
      </c>
      <c r="C354" s="2" t="s">
        <v>1093</v>
      </c>
      <c r="D354" t="str">
        <f>"Chief Operating Officer"</f>
        <v>Chief Operating Officer</v>
      </c>
      <c r="E354" s="1"/>
      <c r="F354" t="str">
        <f>"Dynamic Integrated Services, LLC"</f>
        <v>Dynamic Integrated Services, LLC</v>
      </c>
      <c r="G354" t="str">
        <f>"1-7038190558"</f>
        <v>1-7038190558</v>
      </c>
      <c r="H354" t="str">
        <f>"3 W GARDEN ST."</f>
        <v>3 W GARDEN ST.</v>
      </c>
      <c r="I354" t="str">
        <f>"Suite 610"</f>
        <v>Suite 610</v>
      </c>
      <c r="J354" t="str">
        <f>"Pensacola"</f>
        <v>Pensacola</v>
      </c>
      <c r="K354" t="str">
        <f>"Florida"</f>
        <v>Florida</v>
      </c>
      <c r="L354" t="str">
        <f>"32502-5634"</f>
        <v>32502-5634</v>
      </c>
      <c r="M354" t="str">
        <f>"SDVOSB"</f>
        <v>SDVOSB</v>
      </c>
      <c r="N354" t="str">
        <f>"https://disconsulting.com/"</f>
        <v>https://disconsulting.com/</v>
      </c>
    </row>
    <row r="355" spans="1:14" x14ac:dyDescent="0.35">
      <c r="A355" t="s">
        <v>131</v>
      </c>
      <c r="B355" t="s">
        <v>97</v>
      </c>
      <c r="C355" s="2" t="s">
        <v>412</v>
      </c>
      <c r="D355" t="str">
        <f>"CEO"</f>
        <v>CEO</v>
      </c>
      <c r="E355" s="1"/>
      <c r="F355" t="str">
        <f>"Vetrics Group"</f>
        <v>Vetrics Group</v>
      </c>
      <c r="G355" t="str">
        <f>"1-9376094539"</f>
        <v>1-9376094539</v>
      </c>
      <c r="H355" t="str">
        <f>"412"</f>
        <v>412</v>
      </c>
      <c r="I355" t="str">
        <f>"E Alexandria Avenue"</f>
        <v>E Alexandria Avenue</v>
      </c>
      <c r="J355" t="str">
        <f>"Alexandria"</f>
        <v>Alexandria</v>
      </c>
      <c r="K355" t="str">
        <f>"Va"</f>
        <v>Va</v>
      </c>
      <c r="L355" t="str">
        <f>"22301"</f>
        <v>22301</v>
      </c>
      <c r="M355" t="str">
        <f>"SDVOSB"</f>
        <v>SDVOSB</v>
      </c>
      <c r="N355" t="str">
        <f>""</f>
        <v/>
      </c>
    </row>
    <row r="356" spans="1:14" x14ac:dyDescent="0.35">
      <c r="A356" t="s">
        <v>131</v>
      </c>
      <c r="B356" t="s">
        <v>358</v>
      </c>
      <c r="C356" s="2" t="s">
        <v>620</v>
      </c>
      <c r="D356" t="str">
        <f>"President &amp; Owner"</f>
        <v>President &amp; Owner</v>
      </c>
      <c r="E356" s="1"/>
      <c r="F356" t="str">
        <f>"The Business Acumen Consulting Group, LLC"</f>
        <v>The Business Acumen Consulting Group, LLC</v>
      </c>
      <c r="G356" t="str">
        <f>"1-2056174494"</f>
        <v>1-2056174494</v>
      </c>
      <c r="H356" t="str">
        <f>"5505 Scout Creek Drive"</f>
        <v>5505 Scout Creek Drive</v>
      </c>
      <c r="I356" t="str">
        <f>"  "</f>
        <v xml:space="preserve">  </v>
      </c>
      <c r="J356" t="str">
        <f>"Birmingham"</f>
        <v>Birmingham</v>
      </c>
      <c r="K356" t="str">
        <f>"AL"</f>
        <v>AL</v>
      </c>
      <c r="L356" t="str">
        <f>"35244"</f>
        <v>35244</v>
      </c>
      <c r="M356" t="str">
        <f>"Small Business"</f>
        <v>Small Business</v>
      </c>
      <c r="N356" t="str">
        <f>""</f>
        <v/>
      </c>
    </row>
    <row r="357" spans="1:14" x14ac:dyDescent="0.35">
      <c r="A357" t="s">
        <v>131</v>
      </c>
      <c r="B357" t="s">
        <v>316</v>
      </c>
      <c r="C357" s="2" t="s">
        <v>1047</v>
      </c>
      <c r="D357" t="str">
        <f>"Associate Director for Govt Sales"</f>
        <v>Associate Director for Govt Sales</v>
      </c>
      <c r="E357" s="1"/>
      <c r="F357" t="str">
        <f>"Education Management Solutions"</f>
        <v>Education Management Solutions</v>
      </c>
      <c r="G357" t="str">
        <f>"1-6102830235"</f>
        <v>1-6102830235</v>
      </c>
      <c r="H357" t="str">
        <f>"436 Creamery Way"</f>
        <v>436 Creamery Way</v>
      </c>
      <c r="I357" t="str">
        <f>"Suite 300"</f>
        <v>Suite 300</v>
      </c>
      <c r="J357" t="str">
        <f>"Exton"</f>
        <v>Exton</v>
      </c>
      <c r="K357" t="str">
        <f>"PA"</f>
        <v>PA</v>
      </c>
      <c r="L357" t="str">
        <f>"19341"</f>
        <v>19341</v>
      </c>
      <c r="M357" t="str">
        <f>"Small Business"</f>
        <v>Small Business</v>
      </c>
      <c r="N357" t="str">
        <f>"https://www.simulationiq.com/"</f>
        <v>https://www.simulationiq.com/</v>
      </c>
    </row>
    <row r="358" spans="1:14" x14ac:dyDescent="0.35">
      <c r="A358" t="s">
        <v>131</v>
      </c>
      <c r="B358" t="s">
        <v>509</v>
      </c>
      <c r="C358" s="2" t="s">
        <v>703</v>
      </c>
      <c r="D358" t="str">
        <f>"Dir. of Civilian Business Development &amp; Capture"</f>
        <v>Dir. of Civilian Business Development &amp; Capture</v>
      </c>
      <c r="E358" s="1"/>
      <c r="F358" t="str">
        <f>"Seventh Sense Consulting"</f>
        <v>Seventh Sense Consulting</v>
      </c>
      <c r="G358" t="str">
        <f>"1-6786125683"</f>
        <v>1-6786125683</v>
      </c>
      <c r="H358" t="str">
        <f>"14626 Crossfield Way"</f>
        <v>14626 Crossfield Way</v>
      </c>
      <c r="I358" t="str">
        <f>"  "</f>
        <v xml:space="preserve">  </v>
      </c>
      <c r="J358" t="str">
        <f>"Woodbridge"</f>
        <v>Woodbridge</v>
      </c>
      <c r="K358" t="str">
        <f>"VA"</f>
        <v>VA</v>
      </c>
      <c r="L358" t="str">
        <f>"22191"</f>
        <v>22191</v>
      </c>
      <c r="M358" t="str">
        <f>"8(A)|SDVOSB|Small Business"</f>
        <v>8(A)|SDVOSB|Small Business</v>
      </c>
      <c r="N358" t="str">
        <f>"www.seventhsenseconsulting.com"</f>
        <v>www.seventhsenseconsulting.com</v>
      </c>
    </row>
    <row r="359" spans="1:14" x14ac:dyDescent="0.35">
      <c r="A359" t="s">
        <v>131</v>
      </c>
      <c r="B359" t="s">
        <v>130</v>
      </c>
      <c r="C359" s="2" t="s">
        <v>132</v>
      </c>
      <c r="D359" t="str">
        <f>"Managing Principal"</f>
        <v>Managing Principal</v>
      </c>
      <c r="E359" s="1"/>
      <c r="F359" t="str">
        <f>"Braetr FP, LLC"</f>
        <v>Braetr FP, LLC</v>
      </c>
      <c r="G359" t="str">
        <f>"1-8439914582"</f>
        <v>1-8439914582</v>
      </c>
      <c r="H359" t="str">
        <f>"6908 LONE PINE CT"</f>
        <v>6908 LONE PINE CT</v>
      </c>
      <c r="I359" t="str">
        <f>"  "</f>
        <v xml:space="preserve">  </v>
      </c>
      <c r="J359" t="str">
        <f>"HANAHAN"</f>
        <v>HANAHAN</v>
      </c>
      <c r="K359" t="str">
        <f>"SC"</f>
        <v>SC</v>
      </c>
      <c r="L359" t="str">
        <f>"29410"</f>
        <v>29410</v>
      </c>
      <c r="M359" t="str">
        <f>"SDVOSB|Small Business"</f>
        <v>SDVOSB|Small Business</v>
      </c>
      <c r="N359" t="str">
        <f>""</f>
        <v/>
      </c>
    </row>
    <row r="360" spans="1:14" x14ac:dyDescent="0.35">
      <c r="A360" t="s">
        <v>488</v>
      </c>
      <c r="B360" t="s">
        <v>218</v>
      </c>
      <c r="C360" s="2" t="s">
        <v>489</v>
      </c>
      <c r="D360" t="str">
        <f>"Account Manager"</f>
        <v>Account Manager</v>
      </c>
      <c r="E360" s="1"/>
      <c r="F360" t="str">
        <f>"V3Gate, LLC."</f>
        <v>V3Gate, LLC.</v>
      </c>
      <c r="G360" t="str">
        <f>"1-7197282074"</f>
        <v>1-7197282074</v>
      </c>
      <c r="H360" t="str">
        <f>"555 Middle Creek Parkway"</f>
        <v>555 Middle Creek Parkway</v>
      </c>
      <c r="I360" t="str">
        <f>"  "</f>
        <v xml:space="preserve">  </v>
      </c>
      <c r="J360" t="str">
        <f>"Colorado Springs"</f>
        <v>Colorado Springs</v>
      </c>
      <c r="K360" t="str">
        <f>"CO"</f>
        <v>CO</v>
      </c>
      <c r="L360" t="str">
        <f>"80921"</f>
        <v>80921</v>
      </c>
      <c r="M360" t="str">
        <f>"SDVOSB|Small Disadvantaged Business"</f>
        <v>SDVOSB|Small Disadvantaged Business</v>
      </c>
      <c r="N360" t="str">
        <f>"https://www.v3gate.com/"</f>
        <v>https://www.v3gate.com/</v>
      </c>
    </row>
    <row r="361" spans="1:14" x14ac:dyDescent="0.35">
      <c r="A361" t="s">
        <v>605</v>
      </c>
      <c r="B361" t="s">
        <v>604</v>
      </c>
      <c r="C361" s="2" t="s">
        <v>606</v>
      </c>
      <c r="D361" t="str">
        <f>"Contract Administrator"</f>
        <v>Contract Administrator</v>
      </c>
      <c r="E361" s="1"/>
      <c r="F361" t="str">
        <f>"GDIT"</f>
        <v>GDIT</v>
      </c>
      <c r="G361" t="str">
        <f>"1-9419280310"</f>
        <v>1-9419280310</v>
      </c>
      <c r="H361" t="str">
        <f>"11010 Hyacinth Place"</f>
        <v>11010 Hyacinth Place</v>
      </c>
      <c r="I361" t="str">
        <f>"  "</f>
        <v xml:space="preserve">  </v>
      </c>
      <c r="J361" t="str">
        <f>"Lakewood Ranch"</f>
        <v>Lakewood Ranch</v>
      </c>
      <c r="K361" t="str">
        <f>"FL"</f>
        <v>FL</v>
      </c>
      <c r="L361" t="str">
        <f>"34202"</f>
        <v>34202</v>
      </c>
      <c r="M361" t="str">
        <f>"Large Business"</f>
        <v>Large Business</v>
      </c>
      <c r="N361" t="str">
        <f>""</f>
        <v/>
      </c>
    </row>
    <row r="362" spans="1:14" x14ac:dyDescent="0.35">
      <c r="A362" t="s">
        <v>670</v>
      </c>
      <c r="B362" t="s">
        <v>311</v>
      </c>
      <c r="C362" s="2" t="s">
        <v>671</v>
      </c>
      <c r="D362" t="str">
        <f>"Managing Director"</f>
        <v>Managing Director</v>
      </c>
      <c r="E362" s="1"/>
      <c r="F362" t="str">
        <f>"FI Consulting"</f>
        <v>FI Consulting</v>
      </c>
      <c r="G362" t="str">
        <f>"1-12404463470"</f>
        <v>1-12404463470</v>
      </c>
      <c r="H362" t="str">
        <f>"1500 Wilson Blvd"</f>
        <v>1500 Wilson Blvd</v>
      </c>
      <c r="I362" t="str">
        <f>"4th Floor"</f>
        <v>4th Floor</v>
      </c>
      <c r="J362" t="str">
        <f>"Arlington"</f>
        <v>Arlington</v>
      </c>
      <c r="K362" t="str">
        <f>"VA"</f>
        <v>VA</v>
      </c>
      <c r="L362" t="str">
        <f>"22209"</f>
        <v>22209</v>
      </c>
      <c r="M362" t="str">
        <f>"Small Business"</f>
        <v>Small Business</v>
      </c>
      <c r="N362" t="str">
        <f>"ficonsulting.com"</f>
        <v>ficonsulting.com</v>
      </c>
    </row>
    <row r="363" spans="1:14" x14ac:dyDescent="0.35">
      <c r="A363" t="s">
        <v>396</v>
      </c>
      <c r="B363" t="s">
        <v>395</v>
      </c>
      <c r="C363" s="2" t="s">
        <v>397</v>
      </c>
      <c r="D363" t="str">
        <f>"CEO"</f>
        <v>CEO</v>
      </c>
      <c r="E363" s="1"/>
      <c r="F363" t="str">
        <f>"Avenir Mission Solutions, LLC"</f>
        <v>Avenir Mission Solutions, LLC</v>
      </c>
      <c r="G363" t="str">
        <f>"1-2107889996"</f>
        <v>1-2107889996</v>
      </c>
      <c r="H363" t="str">
        <f>"3907 Grissom Grove"</f>
        <v>3907 Grissom Grove</v>
      </c>
      <c r="I363" t="str">
        <f>"  "</f>
        <v xml:space="preserve">  </v>
      </c>
      <c r="J363" t="str">
        <f>"San Antonio"</f>
        <v>San Antonio</v>
      </c>
      <c r="K363" t="str">
        <f>"TX"</f>
        <v>TX</v>
      </c>
      <c r="L363" t="str">
        <f>"78251"</f>
        <v>78251</v>
      </c>
      <c r="M363" t="str">
        <f>"SDVOSB|Small Business|Small Disadvantaged Business"</f>
        <v>SDVOSB|Small Business|Small Disadvantaged Business</v>
      </c>
      <c r="N363" t="str">
        <f>"https://avenirmissionsolutions.com/"</f>
        <v>https://avenirmissionsolutions.com/</v>
      </c>
    </row>
    <row r="364" spans="1:14" x14ac:dyDescent="0.35">
      <c r="A364" t="s">
        <v>944</v>
      </c>
      <c r="B364" t="s">
        <v>943</v>
      </c>
      <c r="C364" s="2" t="s">
        <v>945</v>
      </c>
      <c r="D364" t="str">
        <f>"Principal"</f>
        <v>Principal</v>
      </c>
      <c r="E364" s="1"/>
      <c r="F364" t="str">
        <f>"Starry Compliance Advisors, LLC"</f>
        <v>Starry Compliance Advisors, LLC</v>
      </c>
      <c r="G364" t="str">
        <f>"1-5129712035"</f>
        <v>1-5129712035</v>
      </c>
      <c r="H364" t="str">
        <f>"13524 Wyoming Valley Drive"</f>
        <v>13524 Wyoming Valley Drive</v>
      </c>
      <c r="I364" t="str">
        <f>"  "</f>
        <v xml:space="preserve">  </v>
      </c>
      <c r="J364" t="str">
        <f>"Austin"</f>
        <v>Austin</v>
      </c>
      <c r="K364" t="str">
        <f>"TX"</f>
        <v>TX</v>
      </c>
      <c r="L364" t="str">
        <f>"78727"</f>
        <v>78727</v>
      </c>
      <c r="M364" t="str">
        <f>"WOSB|Small Business"</f>
        <v>WOSB|Small Business</v>
      </c>
      <c r="N364" t="str">
        <f>"http://starrycomplianceadvisors.com"</f>
        <v>http://starrycomplianceadvisors.com</v>
      </c>
    </row>
    <row r="365" spans="1:14" x14ac:dyDescent="0.35">
      <c r="A365" t="s">
        <v>59</v>
      </c>
      <c r="B365" t="s">
        <v>122</v>
      </c>
      <c r="C365" s="2" t="s">
        <v>123</v>
      </c>
      <c r="D365" t="str">
        <f>"CEO"</f>
        <v>CEO</v>
      </c>
      <c r="E365" s="1"/>
      <c r="F365" t="str">
        <f>"NCP"</f>
        <v>NCP</v>
      </c>
      <c r="G365" t="str">
        <f>"1-9109162402"</f>
        <v>1-9109162402</v>
      </c>
      <c r="H365" t="str">
        <f>"2432 Five Fathom Circle"</f>
        <v>2432 Five Fathom Circle</v>
      </c>
      <c r="I365" t="str">
        <f>"  "</f>
        <v xml:space="preserve">  </v>
      </c>
      <c r="J365" t="str">
        <f>"Woodbridge"</f>
        <v>Woodbridge</v>
      </c>
      <c r="K365" t="str">
        <f>"VA"</f>
        <v>VA</v>
      </c>
      <c r="L365" t="str">
        <f>"22191"</f>
        <v>22191</v>
      </c>
      <c r="M365" t="str">
        <f>"SDVOSB"</f>
        <v>SDVOSB</v>
      </c>
      <c r="N365" t="str">
        <f>"ncp-llc.com"</f>
        <v>ncp-llc.com</v>
      </c>
    </row>
    <row r="366" spans="1:14" x14ac:dyDescent="0.35">
      <c r="A366" t="s">
        <v>646</v>
      </c>
      <c r="B366" t="s">
        <v>645</v>
      </c>
      <c r="C366" s="2" t="s">
        <v>647</v>
      </c>
      <c r="D366" t="str">
        <f>"Proposal Coordinator"</f>
        <v>Proposal Coordinator</v>
      </c>
      <c r="E366" t="s">
        <v>34</v>
      </c>
      <c r="F366" t="str">
        <f>"DSS Inc."</f>
        <v>DSS Inc.</v>
      </c>
      <c r="G366" t="str">
        <f>"1-5618018143"</f>
        <v>1-5618018143</v>
      </c>
      <c r="H366" t="str">
        <f>"12575 UDS hgwy 1"</f>
        <v>12575 UDS hgwy 1</v>
      </c>
      <c r="I366" t="str">
        <f>"  "</f>
        <v xml:space="preserve">  </v>
      </c>
      <c r="J366" t="str">
        <f>"juno beach"</f>
        <v>juno beach</v>
      </c>
      <c r="K366" t="str">
        <f>"fl"</f>
        <v>fl</v>
      </c>
      <c r="L366" t="str">
        <f>"33408"</f>
        <v>33408</v>
      </c>
      <c r="M366" t="str">
        <f>"N/A"</f>
        <v>N/A</v>
      </c>
      <c r="N366" t="str">
        <f>""</f>
        <v/>
      </c>
    </row>
    <row r="367" spans="1:14" x14ac:dyDescent="0.35">
      <c r="A367" t="s">
        <v>902</v>
      </c>
      <c r="B367" t="s">
        <v>200</v>
      </c>
      <c r="C367" s="2" t="s">
        <v>903</v>
      </c>
      <c r="D367" t="str">
        <f>"Vice President-Federal"</f>
        <v>Vice President-Federal</v>
      </c>
      <c r="E367" t="s">
        <v>34</v>
      </c>
      <c r="F367" t="str">
        <f>"Unite Us"</f>
        <v>Unite Us</v>
      </c>
      <c r="G367" t="str">
        <f>"1-757-633-3443"</f>
        <v>1-757-633-3443</v>
      </c>
      <c r="H367" t="str">
        <f>"217 Broadway"</f>
        <v>217 Broadway</v>
      </c>
      <c r="I367" t="str">
        <f>"  "</f>
        <v xml:space="preserve">  </v>
      </c>
      <c r="J367" t="str">
        <f>"New York"</f>
        <v>New York</v>
      </c>
      <c r="K367" t="str">
        <f>"NY"</f>
        <v>NY</v>
      </c>
      <c r="L367" t="str">
        <f>"10007"</f>
        <v>10007</v>
      </c>
      <c r="M367" t="str">
        <f>"Large Business"</f>
        <v>Large Business</v>
      </c>
      <c r="N367" t="str">
        <f>"www.uniteus.com"</f>
        <v>www.uniteus.com</v>
      </c>
    </row>
    <row r="368" spans="1:14" x14ac:dyDescent="0.35">
      <c r="A368" t="s">
        <v>787</v>
      </c>
      <c r="B368" t="s">
        <v>786</v>
      </c>
      <c r="C368" s="2" t="s">
        <v>788</v>
      </c>
      <c r="D368" t="str">
        <f>"Vice President"</f>
        <v>Vice President</v>
      </c>
      <c r="E368" s="1"/>
      <c r="F368" t="str">
        <f>"Sprezzatura Management Consulting"</f>
        <v>Sprezzatura Management Consulting</v>
      </c>
      <c r="G368" t="str">
        <f>"1-2028702845"</f>
        <v>1-2028702845</v>
      </c>
      <c r="H368" t="str">
        <f>"PO Box 535"</f>
        <v>PO Box 535</v>
      </c>
      <c r="I368" t="str">
        <f>"  "</f>
        <v xml:space="preserve">  </v>
      </c>
      <c r="J368" t="str">
        <f>"McLean"</f>
        <v>McLean</v>
      </c>
      <c r="K368" t="str">
        <f>"VA"</f>
        <v>VA</v>
      </c>
      <c r="L368" t="str">
        <f>"22101"</f>
        <v>22101</v>
      </c>
      <c r="M368" t="str">
        <f>"SDVOSB"</f>
        <v>SDVOSB</v>
      </c>
      <c r="N368" t="str">
        <f>"https://www.sprezzmc.com/"</f>
        <v>https://www.sprezzmc.com/</v>
      </c>
    </row>
    <row r="369" spans="1:14" x14ac:dyDescent="0.35">
      <c r="A369" t="s">
        <v>308</v>
      </c>
      <c r="B369" t="s">
        <v>188</v>
      </c>
      <c r="C369" s="2" t="s">
        <v>309</v>
      </c>
      <c r="D369" t="str">
        <f>"Consultant"</f>
        <v>Consultant</v>
      </c>
      <c r="E369" s="1"/>
      <c r="F369" t="str">
        <f>"Ferlise Associates"</f>
        <v>Ferlise Associates</v>
      </c>
      <c r="G369" t="str">
        <f>"1-7322398963"</f>
        <v>1-7322398963</v>
      </c>
      <c r="H369" t="str">
        <f>"6 Industrial Way"</f>
        <v>6 Industrial Way</v>
      </c>
      <c r="I369" t="str">
        <f>"  "</f>
        <v xml:space="preserve">  </v>
      </c>
      <c r="J369" t="str">
        <f>"Eatontown"</f>
        <v>Eatontown</v>
      </c>
      <c r="K369" t="str">
        <f>"New Jersey"</f>
        <v>New Jersey</v>
      </c>
      <c r="L369" t="str">
        <f>"07728"</f>
        <v>07728</v>
      </c>
      <c r="M369" t="str">
        <f>"N/A"</f>
        <v>N/A</v>
      </c>
      <c r="N369" t="str">
        <f>""</f>
        <v/>
      </c>
    </row>
    <row r="370" spans="1:14" x14ac:dyDescent="0.35">
      <c r="A370" t="s">
        <v>757</v>
      </c>
      <c r="B370" t="s">
        <v>756</v>
      </c>
      <c r="C370" s="2" t="s">
        <v>758</v>
      </c>
      <c r="D370" t="str">
        <f>"Sr. Director of Business Operations"</f>
        <v>Sr. Director of Business Operations</v>
      </c>
      <c r="E370" t="s">
        <v>34</v>
      </c>
      <c r="F370" t="str">
        <f>"GovernmentCIO, LLC"</f>
        <v>GovernmentCIO, LLC</v>
      </c>
      <c r="G370" t="str">
        <f>"1-302-563-1768"</f>
        <v>1-302-563-1768</v>
      </c>
      <c r="H370" t="str">
        <f>"4000 Legato Rd."</f>
        <v>4000 Legato Rd.</v>
      </c>
      <c r="I370" t="str">
        <f>"Suite 600"</f>
        <v>Suite 600</v>
      </c>
      <c r="J370" t="str">
        <f>"Fairfax"</f>
        <v>Fairfax</v>
      </c>
      <c r="K370" t="str">
        <f>"VA"</f>
        <v>VA</v>
      </c>
      <c r="L370" t="str">
        <f>"22033"</f>
        <v>22033</v>
      </c>
      <c r="M370" t="str">
        <f>"Large Business"</f>
        <v>Large Business</v>
      </c>
      <c r="N370" t="str">
        <f>""</f>
        <v/>
      </c>
    </row>
    <row r="371" spans="1:14" x14ac:dyDescent="0.35">
      <c r="A371" t="s">
        <v>496</v>
      </c>
      <c r="B371" t="s">
        <v>764</v>
      </c>
      <c r="C371" s="2" t="s">
        <v>986</v>
      </c>
      <c r="D371" t="str">
        <f>"Chief Executive Officer"</f>
        <v>Chief Executive Officer</v>
      </c>
      <c r="E371" s="1"/>
      <c r="F371" t="str">
        <f>"2ndWave LLC"</f>
        <v>2ndWave LLC</v>
      </c>
      <c r="G371" t="str">
        <f>"1-202-204-3016"</f>
        <v>1-202-204-3016</v>
      </c>
      <c r="H371" t="str">
        <f>"1300 Pennsylvania Ave NW"</f>
        <v>1300 Pennsylvania Ave NW</v>
      </c>
      <c r="I371" t="str">
        <f>"Suite 700"</f>
        <v>Suite 700</v>
      </c>
      <c r="J371" t="str">
        <f>"Washington"</f>
        <v>Washington</v>
      </c>
      <c r="K371" t="str">
        <f>"DC"</f>
        <v>DC</v>
      </c>
      <c r="L371" t="str">
        <f>"20004"</f>
        <v>20004</v>
      </c>
      <c r="M371" t="str">
        <f>"8(A)|SDVOSB|Small Business|Small Disadvantaged Business"</f>
        <v>8(A)|SDVOSB|Small Business|Small Disadvantaged Business</v>
      </c>
      <c r="N371" t="str">
        <f>"www.2ndwavellc.com"</f>
        <v>www.2ndwavellc.com</v>
      </c>
    </row>
    <row r="372" spans="1:14" x14ac:dyDescent="0.35">
      <c r="A372" t="s">
        <v>608</v>
      </c>
      <c r="B372" t="s">
        <v>607</v>
      </c>
      <c r="C372" s="2" t="s">
        <v>609</v>
      </c>
      <c r="D372" t="str">
        <f>"Communications Consultant"</f>
        <v>Communications Consultant</v>
      </c>
      <c r="E372" t="s">
        <v>34</v>
      </c>
      <c r="F372" t="str">
        <f>"U.S. Department of Veterans Affairs Office of Information and Technolog"</f>
        <v>U.S. Department of Veterans Affairs Office of Information and Technolog</v>
      </c>
      <c r="G372" t="str">
        <f>"1-9329303923"</f>
        <v>1-9329303923</v>
      </c>
      <c r="H372" t="str">
        <f>"0993 CCC"</f>
        <v>0993 CCC</v>
      </c>
      <c r="I372" t="str">
        <f>"  "</f>
        <v xml:space="preserve">  </v>
      </c>
      <c r="J372" t="str">
        <f>"Washington"</f>
        <v>Washington</v>
      </c>
      <c r="K372" t="str">
        <f>"DC"</f>
        <v>DC</v>
      </c>
      <c r="L372" t="str">
        <f>"20005"</f>
        <v>20005</v>
      </c>
      <c r="M372" t="str">
        <f>"Large Business"</f>
        <v>Large Business</v>
      </c>
      <c r="N372" t="str">
        <f>"N/A"</f>
        <v>N/A</v>
      </c>
    </row>
    <row r="373" spans="1:14" x14ac:dyDescent="0.35">
      <c r="A373" t="s">
        <v>893</v>
      </c>
      <c r="B373" t="s">
        <v>359</v>
      </c>
      <c r="C373" s="2" t="s">
        <v>894</v>
      </c>
      <c r="D373" t="str">
        <f>"Attorney"</f>
        <v>Attorney</v>
      </c>
      <c r="E373" s="1"/>
      <c r="F373" t="str">
        <f>"Ferlise And Associates LLC"</f>
        <v>Ferlise And Associates LLC</v>
      </c>
      <c r="G373" t="str">
        <f>"1-7326045609"</f>
        <v>1-7326045609</v>
      </c>
      <c r="H373" t="str">
        <f>"6 Industrial Way East"</f>
        <v>6 Industrial Way East</v>
      </c>
      <c r="I373" t="str">
        <f>"  "</f>
        <v xml:space="preserve">  </v>
      </c>
      <c r="J373" t="str">
        <f>"Eatontown"</f>
        <v>Eatontown</v>
      </c>
      <c r="K373" t="str">
        <f>"New Jersey"</f>
        <v>New Jersey</v>
      </c>
      <c r="L373" t="str">
        <f>"07724"</f>
        <v>07724</v>
      </c>
      <c r="M373" t="str">
        <f>"N/A"</f>
        <v>N/A</v>
      </c>
      <c r="N373" t="str">
        <f>"none"</f>
        <v>none</v>
      </c>
    </row>
    <row r="374" spans="1:14" x14ac:dyDescent="0.35">
      <c r="A374" t="s">
        <v>812</v>
      </c>
      <c r="B374" t="s">
        <v>811</v>
      </c>
      <c r="C374" s="2" t="s">
        <v>813</v>
      </c>
      <c r="D374" t="str">
        <f>"CLIENT DEVELOPMENT"</f>
        <v>CLIENT DEVELOPMENT</v>
      </c>
      <c r="E374" s="1"/>
      <c r="F374" t="str">
        <f>"McKinsey &amp; Company"</f>
        <v>McKinsey &amp; Company</v>
      </c>
      <c r="G374" t="str">
        <f>"1-4109635220"</f>
        <v>1-4109635220</v>
      </c>
      <c r="H374" t="str">
        <f>"6120"</f>
        <v>6120</v>
      </c>
      <c r="I374" t="str">
        <f>"Rippling Waters Walk"</f>
        <v>Rippling Waters Walk</v>
      </c>
      <c r="J374" t="str">
        <f>"Clarksville"</f>
        <v>Clarksville</v>
      </c>
      <c r="K374" t="str">
        <f>"Maryland"</f>
        <v>Maryland</v>
      </c>
      <c r="L374" t="str">
        <f>"21029"</f>
        <v>21029</v>
      </c>
      <c r="M374" t="str">
        <f>"Large Business"</f>
        <v>Large Business</v>
      </c>
      <c r="N374" t="str">
        <f>""</f>
        <v/>
      </c>
    </row>
    <row r="375" spans="1:14" x14ac:dyDescent="0.35">
      <c r="A375" t="s">
        <v>374</v>
      </c>
      <c r="B375" t="s">
        <v>373</v>
      </c>
      <c r="C375" s="2" t="s">
        <v>375</v>
      </c>
      <c r="D375" t="str">
        <f>"Vice President, Business Development"</f>
        <v>Vice President, Business Development</v>
      </c>
      <c r="E375" s="1"/>
      <c r="F375" t="str">
        <f>"Client First Technologies"</f>
        <v>Client First Technologies</v>
      </c>
      <c r="G375" t="str">
        <f>"1-7038876716"</f>
        <v>1-7038876716</v>
      </c>
      <c r="H375" t="str">
        <f>"2200 2200 PENNSYLVANIA AVENUE, N.W."</f>
        <v>2200 2200 PENNSYLVANIA AVENUE, N.W.</v>
      </c>
      <c r="I375" t="str">
        <f>"  "</f>
        <v xml:space="preserve">  </v>
      </c>
      <c r="J375" t="str">
        <f>"District of Colombia"</f>
        <v>District of Colombia</v>
      </c>
      <c r="K375" t="str">
        <f>"VA"</f>
        <v>VA</v>
      </c>
      <c r="L375" t="str">
        <f>"20037"</f>
        <v>20037</v>
      </c>
      <c r="M375" t="str">
        <f>"SDVOSB|HUBZone"</f>
        <v>SDVOSB|HUBZone</v>
      </c>
      <c r="N375" t="str">
        <f>""</f>
        <v/>
      </c>
    </row>
    <row r="376" spans="1:14" x14ac:dyDescent="0.35">
      <c r="A376" t="s">
        <v>374</v>
      </c>
      <c r="B376" t="s">
        <v>687</v>
      </c>
      <c r="C376" s="2" t="s">
        <v>722</v>
      </c>
      <c r="D376" t="str">
        <f>"VA Sales Manager"</f>
        <v>VA Sales Manager</v>
      </c>
      <c r="E376" s="1"/>
      <c r="F376" t="str">
        <f>"Cognitive"</f>
        <v>Cognitive</v>
      </c>
      <c r="G376" t="str">
        <f>"1-8048734846"</f>
        <v>1-8048734846</v>
      </c>
      <c r="H376" t="str">
        <f>"5413 McFall Court"</f>
        <v>5413 McFall Court</v>
      </c>
      <c r="I376" t="str">
        <f>"  "</f>
        <v xml:space="preserve">  </v>
      </c>
      <c r="J376" t="str">
        <f>"Glen Allen"</f>
        <v>Glen Allen</v>
      </c>
      <c r="K376" t="str">
        <f>"VA"</f>
        <v>VA</v>
      </c>
      <c r="L376" t="str">
        <f>"23059"</f>
        <v>23059</v>
      </c>
      <c r="M376" t="str">
        <f>"SDVOSB|VOSB|Small Business"</f>
        <v>SDVOSB|VOSB|Small Business</v>
      </c>
      <c r="N376" t="str">
        <f>""</f>
        <v/>
      </c>
    </row>
    <row r="377" spans="1:14" x14ac:dyDescent="0.35">
      <c r="A377" t="s">
        <v>1008</v>
      </c>
      <c r="B377" t="s">
        <v>1007</v>
      </c>
      <c r="C377" s="2" t="s">
        <v>1009</v>
      </c>
      <c r="D377" t="str">
        <f>"Digital Editor"</f>
        <v>Digital Editor</v>
      </c>
      <c r="E377" s="1"/>
      <c r="F377" t="str">
        <f>"Federal News Network"</f>
        <v>Federal News Network</v>
      </c>
      <c r="G377" t="str">
        <f>"1-2022744821"</f>
        <v>1-2022744821</v>
      </c>
      <c r="H377" t="str">
        <f>"5425 Wisconsin Ave"</f>
        <v>5425 Wisconsin Ave</v>
      </c>
      <c r="I377" t="str">
        <f>"  "</f>
        <v xml:space="preserve">  </v>
      </c>
      <c r="J377" t="str">
        <f>"Chevy Chase"</f>
        <v>Chevy Chase</v>
      </c>
      <c r="K377" t="str">
        <f>"Maryland"</f>
        <v>Maryland</v>
      </c>
      <c r="L377" t="str">
        <f>"20815"</f>
        <v>20815</v>
      </c>
      <c r="M377" t="str">
        <f>"N/A"</f>
        <v>N/A</v>
      </c>
      <c r="N377" t="str">
        <f>""</f>
        <v/>
      </c>
    </row>
    <row r="378" spans="1:14" x14ac:dyDescent="0.35">
      <c r="A378" t="s">
        <v>909</v>
      </c>
      <c r="B378" t="s">
        <v>908</v>
      </c>
      <c r="C378" s="2" t="s">
        <v>910</v>
      </c>
      <c r="D378" t="str">
        <f>"President"</f>
        <v>President</v>
      </c>
      <c r="E378" s="1"/>
      <c r="F378" t="str">
        <f>"Veteran Technology Leaders"</f>
        <v>Veteran Technology Leaders</v>
      </c>
      <c r="G378" t="str">
        <f>"1-3018254677"</f>
        <v>1-3018254677</v>
      </c>
      <c r="H378" t="str">
        <f>"9658 Baltimore Ave"</f>
        <v>9658 Baltimore Ave</v>
      </c>
      <c r="I378" t="str">
        <f>"Suite 300"</f>
        <v>Suite 300</v>
      </c>
      <c r="J378" t="str">
        <f>"Silver Spring"</f>
        <v>Silver Spring</v>
      </c>
      <c r="K378" t="str">
        <f>"MD"</f>
        <v>MD</v>
      </c>
      <c r="L378" t="str">
        <f>"20904"</f>
        <v>20904</v>
      </c>
      <c r="M378" t="str">
        <f>"8(A)|SDVOSB|Small Business|Small Disadvantaged Business"</f>
        <v>8(A)|SDVOSB|Small Business|Small Disadvantaged Business</v>
      </c>
      <c r="N378" t="str">
        <f>"www.vtleaders.com"</f>
        <v>www.vtleaders.com</v>
      </c>
    </row>
    <row r="379" spans="1:14" x14ac:dyDescent="0.35">
      <c r="A379" t="s">
        <v>967</v>
      </c>
      <c r="B379" t="s">
        <v>82</v>
      </c>
      <c r="C379" s="2" t="s">
        <v>968</v>
      </c>
      <c r="D379" t="str">
        <f>"Federal Account Manager"</f>
        <v>Federal Account Manager</v>
      </c>
      <c r="E379" s="1"/>
      <c r="F379" t="str">
        <f>"ABBTECH Professional Resources"</f>
        <v>ABBTECH Professional Resources</v>
      </c>
      <c r="G379" t="str">
        <f>"1-7039439867"</f>
        <v>1-7039439867</v>
      </c>
      <c r="H379" t="str">
        <f>"54635 Willow Pond Plaza"</f>
        <v>54635 Willow Pond Plaza</v>
      </c>
      <c r="I379" t="str">
        <f>"  "</f>
        <v xml:space="preserve">  </v>
      </c>
      <c r="J379" t="str">
        <f>"Sterling"</f>
        <v>Sterling</v>
      </c>
      <c r="K379" t="str">
        <f>"Virginia"</f>
        <v>Virginia</v>
      </c>
      <c r="L379" t="str">
        <f>"20164"</f>
        <v>20164</v>
      </c>
      <c r="M379" t="str">
        <f>"WOSB"</f>
        <v>WOSB</v>
      </c>
      <c r="N379" t="str">
        <f>"www.abbtech.com"</f>
        <v>www.abbtech.com</v>
      </c>
    </row>
    <row r="380" spans="1:14" x14ac:dyDescent="0.35">
      <c r="A380" t="s">
        <v>1089</v>
      </c>
      <c r="B380" t="s">
        <v>702</v>
      </c>
      <c r="C380" s="2" t="s">
        <v>1090</v>
      </c>
      <c r="D380" t="str">
        <f>"VP, Strategy and Growth"</f>
        <v>VP, Strategy and Growth</v>
      </c>
      <c r="E380" s="1"/>
      <c r="F380" t="str">
        <f>"Tenacity Solutions, LLC"</f>
        <v>Tenacity Solutions, LLC</v>
      </c>
      <c r="G380" t="str">
        <f>"1-3018026005"</f>
        <v>1-3018026005</v>
      </c>
      <c r="H380" t="str">
        <f>"16927 Harbour Town Drive"</f>
        <v>16927 Harbour Town Drive</v>
      </c>
      <c r="I380" t="str">
        <f>"  "</f>
        <v xml:space="preserve">  </v>
      </c>
      <c r="J380" t="str">
        <f>"Ashton"</f>
        <v>Ashton</v>
      </c>
      <c r="K380" t="str">
        <f>"MD"</f>
        <v>MD</v>
      </c>
      <c r="L380" t="str">
        <f>"20861"</f>
        <v>20861</v>
      </c>
      <c r="M380" t="str">
        <f>"SDVOSB"</f>
        <v>SDVOSB</v>
      </c>
      <c r="N380" t="str">
        <f>"https://tenacity-solutions.com/"</f>
        <v>https://tenacity-solutions.com/</v>
      </c>
    </row>
    <row r="381" spans="1:14" x14ac:dyDescent="0.35">
      <c r="A381" t="s">
        <v>1010</v>
      </c>
      <c r="B381" t="s">
        <v>14</v>
      </c>
      <c r="C381" s="2" t="s">
        <v>1011</v>
      </c>
      <c r="D381" t="str">
        <f>"SVP &amp; GM"</f>
        <v>SVP &amp; GM</v>
      </c>
      <c r="E381" s="1"/>
      <c r="F381" t="str">
        <f>"BDR Solutions LLC"</f>
        <v>BDR Solutions LLC</v>
      </c>
      <c r="G381" t="str">
        <f>"1-2406382781"</f>
        <v>1-2406382781</v>
      </c>
      <c r="H381" t="str">
        <f>"8403 Colesville Road"</f>
        <v>8403 Colesville Road</v>
      </c>
      <c r="I381" t="str">
        <f>"  "</f>
        <v xml:space="preserve">  </v>
      </c>
      <c r="J381" t="str">
        <f>"Silver Spring"</f>
        <v>Silver Spring</v>
      </c>
      <c r="K381" t="str">
        <f>"MARYLAND"</f>
        <v>MARYLAND</v>
      </c>
      <c r="L381" t="str">
        <f>"20910"</f>
        <v>20910</v>
      </c>
      <c r="M381" t="str">
        <f>"8(A)|SDVOSB|VOSB|HUBZone|Small Business|Small Disadvantaged Business"</f>
        <v>8(A)|SDVOSB|VOSB|HUBZone|Small Business|Small Disadvantaged Business</v>
      </c>
      <c r="N381" t="str">
        <f>""</f>
        <v/>
      </c>
    </row>
    <row r="382" spans="1:14" x14ac:dyDescent="0.35">
      <c r="A382" t="s">
        <v>737</v>
      </c>
      <c r="B382" t="s">
        <v>736</v>
      </c>
      <c r="C382" s="2" t="s">
        <v>738</v>
      </c>
      <c r="D382" t="str">
        <f>"Principle consultant"</f>
        <v>Principle consultant</v>
      </c>
      <c r="E382" t="s">
        <v>34</v>
      </c>
      <c r="F382" t="str">
        <f>"12930 world gate drive"</f>
        <v>12930 world gate drive</v>
      </c>
      <c r="G382" t="str">
        <f>"1-2022574685"</f>
        <v>1-2022574685</v>
      </c>
      <c r="H382" t="str">
        <f>"300"</f>
        <v>300</v>
      </c>
      <c r="I382" t="str">
        <f>"Herndon"</f>
        <v>Herndon</v>
      </c>
      <c r="J382" t="str">
        <f>"Va"</f>
        <v>Va</v>
      </c>
      <c r="K382" t="str">
        <f>"20170"</f>
        <v>20170</v>
      </c>
      <c r="L382" t="str">
        <f>"Usa"</f>
        <v>Usa</v>
      </c>
      <c r="M382" t="str">
        <f>"Large Business"</f>
        <v>Large Business</v>
      </c>
      <c r="N382" t="str">
        <f>"LTS.com"</f>
        <v>LTS.com</v>
      </c>
    </row>
    <row r="383" spans="1:14" x14ac:dyDescent="0.35">
      <c r="A383" t="s">
        <v>819</v>
      </c>
      <c r="B383" t="s">
        <v>818</v>
      </c>
      <c r="C383" s="2" t="s">
        <v>820</v>
      </c>
      <c r="D383" t="str">
        <f>"CGO"</f>
        <v>CGO</v>
      </c>
      <c r="E383" s="1"/>
      <c r="F383" t="str">
        <f>"TQA"</f>
        <v>TQA</v>
      </c>
      <c r="G383" t="str">
        <f>"1-5713300250"</f>
        <v>1-5713300250</v>
      </c>
      <c r="H383" t="str">
        <f>"1800 Michael Faraday Dr"</f>
        <v>1800 Michael Faraday Dr</v>
      </c>
      <c r="I383" t="str">
        <f>"  "</f>
        <v xml:space="preserve">  </v>
      </c>
      <c r="J383" t="str">
        <f>"Reston"</f>
        <v>Reston</v>
      </c>
      <c r="K383" t="str">
        <f>"VA"</f>
        <v>VA</v>
      </c>
      <c r="L383" t="str">
        <f>"20190"</f>
        <v>20190</v>
      </c>
      <c r="M383" t="str">
        <f>"Small Business"</f>
        <v>Small Business</v>
      </c>
      <c r="N383" t="str">
        <f>"trustedqa.com"</f>
        <v>trustedqa.com</v>
      </c>
    </row>
    <row r="384" spans="1:14" x14ac:dyDescent="0.35">
      <c r="A384" t="s">
        <v>518</v>
      </c>
      <c r="B384" t="s">
        <v>389</v>
      </c>
      <c r="C384" s="2" t="s">
        <v>519</v>
      </c>
      <c r="D384" t="str">
        <f>"Major Account Executive"</f>
        <v>Major Account Executive</v>
      </c>
      <c r="E384" s="1"/>
      <c r="F384" t="str">
        <f>"Akamai"</f>
        <v>Akamai</v>
      </c>
      <c r="G384" t="str">
        <f>"1-3018859083"</f>
        <v>1-3018859083</v>
      </c>
      <c r="H384" t="str">
        <f>"11111 Sunset Hills Road"</f>
        <v>11111 Sunset Hills Road</v>
      </c>
      <c r="I384" t="str">
        <f>"Suite 250"</f>
        <v>Suite 250</v>
      </c>
      <c r="J384" t="str">
        <f>"Reston"</f>
        <v>Reston</v>
      </c>
      <c r="K384" t="str">
        <f>"VA"</f>
        <v>VA</v>
      </c>
      <c r="L384" t="str">
        <f>"20190"</f>
        <v>20190</v>
      </c>
      <c r="M384" t="str">
        <f>"Large Business"</f>
        <v>Large Business</v>
      </c>
      <c r="N384" t="str">
        <f>"akamai.com"</f>
        <v>akamai.com</v>
      </c>
    </row>
    <row r="385" spans="1:14" x14ac:dyDescent="0.35">
      <c r="A385" t="s">
        <v>695</v>
      </c>
      <c r="B385" t="s">
        <v>46</v>
      </c>
      <c r="C385" s="2" t="s">
        <v>696</v>
      </c>
      <c r="D385" t="str">
        <f>"Dir, Strategic Accounts"</f>
        <v>Dir, Strategic Accounts</v>
      </c>
      <c r="E385" s="1"/>
      <c r="F385" t="str">
        <f>"DSS, Iinc."</f>
        <v>DSS, Iinc.</v>
      </c>
      <c r="G385" t="str">
        <f>"1-561-512-1878"</f>
        <v>1-561-512-1878</v>
      </c>
      <c r="H385" t="str">
        <f>"7731 Calle Andar"</f>
        <v>7731 Calle Andar</v>
      </c>
      <c r="I385" t="str">
        <f>"  "</f>
        <v xml:space="preserve">  </v>
      </c>
      <c r="J385" t="str">
        <f>"Carlsbad"</f>
        <v>Carlsbad</v>
      </c>
      <c r="K385" t="str">
        <f>"CA"</f>
        <v>CA</v>
      </c>
      <c r="L385" t="str">
        <f>"92009"</f>
        <v>92009</v>
      </c>
      <c r="M385" t="str">
        <f>"Large Business"</f>
        <v>Large Business</v>
      </c>
      <c r="N385" t="str">
        <f>""</f>
        <v/>
      </c>
    </row>
    <row r="386" spans="1:14" x14ac:dyDescent="0.35">
      <c r="A386" t="s">
        <v>385</v>
      </c>
      <c r="B386" t="s">
        <v>792</v>
      </c>
      <c r="C386" s="2" t="s">
        <v>793</v>
      </c>
      <c r="D386" t="str">
        <f>"President/CEO"</f>
        <v>President/CEO</v>
      </c>
      <c r="E386" s="1"/>
      <c r="F386" t="str">
        <f>"Tucker-Rose Associates, LLC"</f>
        <v>Tucker-Rose Associates, LLC</v>
      </c>
      <c r="G386" t="str">
        <f>"1-8306607880"</f>
        <v>1-8306607880</v>
      </c>
      <c r="H386" t="str">
        <f>"2405 IH 35 South"</f>
        <v>2405 IH 35 South</v>
      </c>
      <c r="I386" t="str">
        <f>"  "</f>
        <v xml:space="preserve">  </v>
      </c>
      <c r="J386" t="str">
        <f>"New Braunfels"</f>
        <v>New Braunfels</v>
      </c>
      <c r="K386" t="str">
        <f>"Texas"</f>
        <v>Texas</v>
      </c>
      <c r="L386" t="str">
        <f>"78132"</f>
        <v>78132</v>
      </c>
      <c r="M386" t="str">
        <f>"SDVOSB"</f>
        <v>SDVOSB</v>
      </c>
      <c r="N386" t="str">
        <f>"www.TuckerRose.com"</f>
        <v>www.TuckerRose.com</v>
      </c>
    </row>
    <row r="387" spans="1:14" x14ac:dyDescent="0.35">
      <c r="A387" t="s">
        <v>385</v>
      </c>
      <c r="B387" t="s">
        <v>384</v>
      </c>
      <c r="C387" s="2" t="s">
        <v>386</v>
      </c>
      <c r="D387" t="str">
        <f>"Inside Sales Account Manager"</f>
        <v>Inside Sales Account Manager</v>
      </c>
      <c r="E387" s="1"/>
      <c r="F387" t="str">
        <f>"Red River Technology LLC"</f>
        <v>Red River Technology LLC</v>
      </c>
      <c r="G387" t="str">
        <f>"1-603-442-5516"</f>
        <v>1-603-442-5516</v>
      </c>
      <c r="H387" t="str">
        <f>"21 Water Street"</f>
        <v>21 Water Street</v>
      </c>
      <c r="I387" t="str">
        <f>"  "</f>
        <v xml:space="preserve">  </v>
      </c>
      <c r="J387" t="str">
        <f>"Claremont"</f>
        <v>Claremont</v>
      </c>
      <c r="K387" t="str">
        <f>"NH"</f>
        <v>NH</v>
      </c>
      <c r="L387" t="str">
        <f>"03743"</f>
        <v>03743</v>
      </c>
      <c r="M387" t="str">
        <f>"Large Business"</f>
        <v>Large Business</v>
      </c>
      <c r="N387" t="str">
        <f>"https://redriver.com/"</f>
        <v>https://redriver.com/</v>
      </c>
    </row>
    <row r="388" spans="1:14" x14ac:dyDescent="0.35">
      <c r="A388" t="s">
        <v>937</v>
      </c>
      <c r="B388" t="s">
        <v>936</v>
      </c>
      <c r="C388" s="2" t="s">
        <v>938</v>
      </c>
      <c r="D388" t="str">
        <f>"EVP"</f>
        <v>EVP</v>
      </c>
      <c r="E388" t="s">
        <v>34</v>
      </c>
      <c r="F388" t="str">
        <f>"Halfaker"</f>
        <v>Halfaker</v>
      </c>
      <c r="G388" t="str">
        <f>"1-5714477672"</f>
        <v>1-5714477672</v>
      </c>
      <c r="H388" t="str">
        <f>"1551 Burleson"</f>
        <v>1551 Burleson</v>
      </c>
      <c r="I388" t="str">
        <f>"  "</f>
        <v xml:space="preserve">  </v>
      </c>
      <c r="J388" t="str">
        <f>"brenham"</f>
        <v>brenham</v>
      </c>
      <c r="K388" t="str">
        <f>"texas"</f>
        <v>texas</v>
      </c>
      <c r="L388" t="str">
        <f>"77833"</f>
        <v>77833</v>
      </c>
      <c r="M388" t="str">
        <f>"Large Business"</f>
        <v>Large Business</v>
      </c>
      <c r="N388" t="str">
        <f>""</f>
        <v/>
      </c>
    </row>
    <row r="389" spans="1:14" x14ac:dyDescent="0.35">
      <c r="A389" t="s">
        <v>750</v>
      </c>
      <c r="B389" t="s">
        <v>55</v>
      </c>
      <c r="C389" s="2" t="s">
        <v>751</v>
      </c>
      <c r="D389" t="str">
        <f>"Vice President of Growth"</f>
        <v>Vice President of Growth</v>
      </c>
      <c r="E389" t="s">
        <v>22</v>
      </c>
      <c r="F389" t="str">
        <f>"MKS2 Technologies"</f>
        <v>MKS2 Technologies</v>
      </c>
      <c r="G389" t="str">
        <f>"1-9082689911"</f>
        <v>1-9082689911</v>
      </c>
      <c r="H389" t="str">
        <f>"4204 Hookbilled Kite Dr"</f>
        <v>4204 Hookbilled Kite Dr</v>
      </c>
      <c r="I389" t="str">
        <f>"  "</f>
        <v xml:space="preserve">  </v>
      </c>
      <c r="J389" t="str">
        <f>"Lakeway"</f>
        <v>Lakeway</v>
      </c>
      <c r="K389" t="str">
        <f>"Texas"</f>
        <v>Texas</v>
      </c>
      <c r="L389" t="str">
        <f>"78734"</f>
        <v>78734</v>
      </c>
      <c r="M389" t="str">
        <f>"SDVOSB"</f>
        <v>SDVOSB</v>
      </c>
      <c r="N389" t="str">
        <f>""</f>
        <v/>
      </c>
    </row>
    <row r="390" spans="1:14" x14ac:dyDescent="0.35">
      <c r="A390" t="s">
        <v>713</v>
      </c>
      <c r="B390" t="s">
        <v>712</v>
      </c>
      <c r="C390" s="2" t="s">
        <v>714</v>
      </c>
      <c r="D390" t="str">
        <f>"Program Mgmt Director"</f>
        <v>Program Mgmt Director</v>
      </c>
      <c r="E390" t="s">
        <v>23</v>
      </c>
      <c r="F390" t="str">
        <f>"SAIC"</f>
        <v>SAIC</v>
      </c>
      <c r="G390" t="str">
        <f>"1-7276385263"</f>
        <v>1-7276385263</v>
      </c>
      <c r="H390" t="str">
        <f>"SAIC"</f>
        <v>SAIC</v>
      </c>
      <c r="I390" t="str">
        <f>"  "</f>
        <v xml:space="preserve">  </v>
      </c>
      <c r="J390" t="str">
        <f>"Tampa"</f>
        <v>Tampa</v>
      </c>
      <c r="K390" t="str">
        <f>"FL"</f>
        <v>FL</v>
      </c>
      <c r="L390" t="str">
        <f>"33774"</f>
        <v>33774</v>
      </c>
      <c r="M390" t="str">
        <f>"Large Business"</f>
        <v>Large Business</v>
      </c>
      <c r="N390" t="str">
        <f>"www.saic.com"</f>
        <v>www.saic.com</v>
      </c>
    </row>
    <row r="391" spans="1:14" x14ac:dyDescent="0.35">
      <c r="A391" t="s">
        <v>641</v>
      </c>
      <c r="B391" t="s">
        <v>640</v>
      </c>
      <c r="C391" s="2" t="s">
        <v>642</v>
      </c>
      <c r="D391" t="str">
        <f>"VP of Growth"</f>
        <v>VP of Growth</v>
      </c>
      <c r="E391" t="s">
        <v>22</v>
      </c>
      <c r="F391" t="str">
        <f>"Insignia Technology"</f>
        <v>Insignia Technology</v>
      </c>
      <c r="G391" t="str">
        <f>"1-17034035392"</f>
        <v>1-17034035392</v>
      </c>
      <c r="H391" t="str">
        <f>"45150 Russell Branch Parkway"</f>
        <v>45150 Russell Branch Parkway</v>
      </c>
      <c r="I391" t="str">
        <f>"Suite 300"</f>
        <v>Suite 300</v>
      </c>
      <c r="J391" t="str">
        <f>"Ashburn"</f>
        <v>Ashburn</v>
      </c>
      <c r="K391" t="str">
        <f>"VA"</f>
        <v>VA</v>
      </c>
      <c r="L391" t="str">
        <f>"20147"</f>
        <v>20147</v>
      </c>
      <c r="M391" t="str">
        <f>"SDVOSB"</f>
        <v>SDVOSB</v>
      </c>
      <c r="N391" t="str">
        <f>"https://9thwayinsignia.com/"</f>
        <v>https://9thwayinsignia.com/</v>
      </c>
    </row>
    <row r="392" spans="1:14" x14ac:dyDescent="0.35">
      <c r="A392" t="s">
        <v>426</v>
      </c>
      <c r="B392" t="s">
        <v>49</v>
      </c>
      <c r="C392" s="2" t="s">
        <v>427</v>
      </c>
      <c r="D392" t="str">
        <f>"President/CEO"</f>
        <v>President/CEO</v>
      </c>
      <c r="E392" s="1"/>
      <c r="F392" t="str">
        <f>"Thunderyard Liberty JV LLC"</f>
        <v>Thunderyard Liberty JV LLC</v>
      </c>
      <c r="G392" t="str">
        <f>"1-2812223644"</f>
        <v>1-2812223644</v>
      </c>
      <c r="H392" t="str">
        <f>"1382 W Melrose Dr"</f>
        <v>1382 W Melrose Dr</v>
      </c>
      <c r="I392" t="str">
        <f>"  "</f>
        <v xml:space="preserve">  </v>
      </c>
      <c r="J392" t="str">
        <f>"Westlake"</f>
        <v>Westlake</v>
      </c>
      <c r="K392" t="str">
        <f>"OH"</f>
        <v>OH</v>
      </c>
      <c r="L392" t="str">
        <f>"44145"</f>
        <v>44145</v>
      </c>
      <c r="M392" t="str">
        <f>"SDVOSB|VOSB"</f>
        <v>SDVOSB|VOSB</v>
      </c>
      <c r="N392" t="str">
        <f>"https://thunderyard-liberty.com/"</f>
        <v>https://thunderyard-liberty.com/</v>
      </c>
    </row>
    <row r="393" spans="1:14" x14ac:dyDescent="0.35">
      <c r="A393" t="s">
        <v>891</v>
      </c>
      <c r="B393" t="s">
        <v>890</v>
      </c>
      <c r="C393" s="2" t="s">
        <v>892</v>
      </c>
      <c r="D393" t="str">
        <f>"Client Relationship Executive"</f>
        <v>Client Relationship Executive</v>
      </c>
      <c r="E393" t="s">
        <v>23</v>
      </c>
      <c r="F393" t="str">
        <f>"Deloitte"</f>
        <v>Deloitte</v>
      </c>
      <c r="G393" t="str">
        <f>"1-7039193145"</f>
        <v>1-7039193145</v>
      </c>
      <c r="H393" t="str">
        <f>"1919 N. Lynn St."</f>
        <v>1919 N. Lynn St.</v>
      </c>
      <c r="I393" t="str">
        <f>"  "</f>
        <v xml:space="preserve">  </v>
      </c>
      <c r="J393" t="str">
        <f>"Arlington"</f>
        <v>Arlington</v>
      </c>
      <c r="K393" t="str">
        <f>"VA"</f>
        <v>VA</v>
      </c>
      <c r="L393" t="str">
        <f>"22209"</f>
        <v>22209</v>
      </c>
      <c r="M393" t="str">
        <f>"Large Business"</f>
        <v>Large Business</v>
      </c>
      <c r="N393" t="str">
        <f>"www.deloitte.com"</f>
        <v>www.deloitte.com</v>
      </c>
    </row>
    <row r="394" spans="1:14" x14ac:dyDescent="0.35">
      <c r="A394" t="s">
        <v>462</v>
      </c>
      <c r="B394" t="s">
        <v>461</v>
      </c>
      <c r="C394" s="2" t="s">
        <v>463</v>
      </c>
      <c r="D394" t="str">
        <f>"Architect"</f>
        <v>Architect</v>
      </c>
      <c r="E394" s="1"/>
      <c r="F394" t="str">
        <f>"Gmg Arcdata"</f>
        <v>Gmg Arcdata</v>
      </c>
      <c r="G394" t="str">
        <f>"1-571-243-8626"</f>
        <v>1-571-243-8626</v>
      </c>
      <c r="H394" t="str">
        <f>"644 g st SE"</f>
        <v>644 g st SE</v>
      </c>
      <c r="I394" t="str">
        <f>"  "</f>
        <v xml:space="preserve">  </v>
      </c>
      <c r="J394" t="str">
        <f>"Washington"</f>
        <v>Washington</v>
      </c>
      <c r="K394" t="str">
        <f>"DC"</f>
        <v>DC</v>
      </c>
      <c r="L394" t="str">
        <f>"20003"</f>
        <v>20003</v>
      </c>
      <c r="M394" t="str">
        <f>"VOSB|Small Business"</f>
        <v>VOSB|Small Business</v>
      </c>
      <c r="N394" t="str">
        <f>""</f>
        <v/>
      </c>
    </row>
    <row r="395" spans="1:14" x14ac:dyDescent="0.35">
      <c r="A395" t="s">
        <v>1106</v>
      </c>
      <c r="B395" t="s">
        <v>14</v>
      </c>
      <c r="C395" s="2" t="s">
        <v>1107</v>
      </c>
      <c r="D395" t="str">
        <f>"Vice President"</f>
        <v>Vice President</v>
      </c>
      <c r="E395" s="1"/>
      <c r="F395" t="str">
        <f>"Systems Technologies, Inc."</f>
        <v>Systems Technologies, Inc.</v>
      </c>
      <c r="G395" t="str">
        <f>"1-732-571-6400"</f>
        <v>1-732-571-6400</v>
      </c>
      <c r="H395" t="str">
        <f>"185 Route 36"</f>
        <v>185 Route 36</v>
      </c>
      <c r="I395" t="str">
        <f>"  "</f>
        <v xml:space="preserve">  </v>
      </c>
      <c r="J395" t="str">
        <f>"West Long Branch"</f>
        <v>West Long Branch</v>
      </c>
      <c r="K395" t="str">
        <f>"New Jersey"</f>
        <v>New Jersey</v>
      </c>
      <c r="L395" t="str">
        <f>"07764"</f>
        <v>07764</v>
      </c>
      <c r="M395" t="str">
        <f>"Small Business"</f>
        <v>Small Business</v>
      </c>
      <c r="N395" t="str">
        <f>"www.systek.com"</f>
        <v>www.systek.com</v>
      </c>
    </row>
    <row r="396" spans="1:14" x14ac:dyDescent="0.35">
      <c r="A396" t="s">
        <v>707</v>
      </c>
      <c r="B396" t="s">
        <v>39</v>
      </c>
      <c r="C396" s="2" t="s">
        <v>708</v>
      </c>
      <c r="D396" t="str">
        <f>"President"</f>
        <v>President</v>
      </c>
      <c r="E396" s="1"/>
      <c r="F396" t="str">
        <f>"Federal Business LLC"</f>
        <v>Federal Business LLC</v>
      </c>
      <c r="G396" t="str">
        <f>"1-703-615-6787"</f>
        <v>1-703-615-6787</v>
      </c>
      <c r="H396" t="str">
        <f>"8609 Westwood Center Drive"</f>
        <v>8609 Westwood Center Drive</v>
      </c>
      <c r="I396" t="str">
        <f>"Suite 110"</f>
        <v>Suite 110</v>
      </c>
      <c r="J396" t="str">
        <f>"Vienna"</f>
        <v>Vienna</v>
      </c>
      <c r="K396" t="str">
        <f>"Virginia"</f>
        <v>Virginia</v>
      </c>
      <c r="L396" t="str">
        <f>"22182-7525"</f>
        <v>22182-7525</v>
      </c>
      <c r="M396" t="str">
        <f>"N/A"</f>
        <v>N/A</v>
      </c>
      <c r="N396" t="str">
        <f>"BusinessOfVA.com"</f>
        <v>BusinessOfVA.com</v>
      </c>
    </row>
    <row r="397" spans="1:14" x14ac:dyDescent="0.35">
      <c r="A397" t="s">
        <v>927</v>
      </c>
      <c r="B397" t="s">
        <v>38</v>
      </c>
      <c r="C397" s="2" t="s">
        <v>928</v>
      </c>
      <c r="D397" t="str">
        <f>"Senior Client Executive - VA"</f>
        <v>Senior Client Executive - VA</v>
      </c>
      <c r="E397" t="s">
        <v>23</v>
      </c>
      <c r="F397" t="str">
        <f>"Peraton, Inc."</f>
        <v>Peraton, Inc.</v>
      </c>
      <c r="G397" t="str">
        <f>"1-7035171809"</f>
        <v>1-7035171809</v>
      </c>
      <c r="H397" t="str">
        <f>"14295 Park Meadow Dr"</f>
        <v>14295 Park Meadow Dr</v>
      </c>
      <c r="I397" t="str">
        <f>"  "</f>
        <v xml:space="preserve">  </v>
      </c>
      <c r="J397" t="str">
        <f>"Chantilly"</f>
        <v>Chantilly</v>
      </c>
      <c r="K397" t="str">
        <f>"VA"</f>
        <v>VA</v>
      </c>
      <c r="L397" t="str">
        <f>"20151"</f>
        <v>20151</v>
      </c>
      <c r="M397" t="str">
        <f>"Large Business"</f>
        <v>Large Business</v>
      </c>
      <c r="N397" t="str">
        <f>"www.perspecta.com"</f>
        <v>www.perspecta.com</v>
      </c>
    </row>
    <row r="398" spans="1:14" x14ac:dyDescent="0.35">
      <c r="A398" t="s">
        <v>246</v>
      </c>
      <c r="B398" t="s">
        <v>203</v>
      </c>
      <c r="C398" s="2" t="s">
        <v>247</v>
      </c>
      <c r="D398" t="str">
        <f>"VP of Growth"</f>
        <v>VP of Growth</v>
      </c>
      <c r="E398" t="s">
        <v>22</v>
      </c>
      <c r="F398" t="str">
        <f>"All In Solutions, LLC"</f>
        <v>All In Solutions, LLC</v>
      </c>
      <c r="G398" t="str">
        <f>"1-1954562165"</f>
        <v>1-1954562165</v>
      </c>
      <c r="H398" t="str">
        <f>"648 Belvedere Rd NW"</f>
        <v>648 Belvedere Rd NW</v>
      </c>
      <c r="I398" t="str">
        <f>"  "</f>
        <v xml:space="preserve">  </v>
      </c>
      <c r="J398" t="str">
        <f>"Palm Bay"</f>
        <v>Palm Bay</v>
      </c>
      <c r="K398" t="str">
        <f>"FL"</f>
        <v>FL</v>
      </c>
      <c r="L398" t="str">
        <f>"32907"</f>
        <v>32907</v>
      </c>
      <c r="M398" t="str">
        <f>"SDVOSB|VOSB|WOSB"</f>
        <v>SDVOSB|VOSB|WOSB</v>
      </c>
      <c r="N398" t="str">
        <f>"allin-solutions.com"</f>
        <v>allin-solutions.com</v>
      </c>
    </row>
    <row r="399" spans="1:14" x14ac:dyDescent="0.35">
      <c r="A399" t="s">
        <v>770</v>
      </c>
      <c r="B399" t="s">
        <v>359</v>
      </c>
      <c r="C399" s="2" t="s">
        <v>771</v>
      </c>
      <c r="D399" t="str">
        <f>"Account Development Representative"</f>
        <v>Account Development Representative</v>
      </c>
      <c r="E399" s="1"/>
      <c r="F399" t="str">
        <f>"BizFlow Corp"</f>
        <v>BizFlow Corp</v>
      </c>
      <c r="G399" t="str">
        <f>"1-5043435662"</f>
        <v>1-5043435662</v>
      </c>
      <c r="H399" t="str">
        <f>"3141 Fairview Park Dr"</f>
        <v>3141 Fairview Park Dr</v>
      </c>
      <c r="I399" t="str">
        <f>"  "</f>
        <v xml:space="preserve">  </v>
      </c>
      <c r="J399" t="str">
        <f>"Falls Church"</f>
        <v>Falls Church</v>
      </c>
      <c r="K399" t="str">
        <f>"VA"</f>
        <v>VA</v>
      </c>
      <c r="L399" t="str">
        <f>"22042"</f>
        <v>22042</v>
      </c>
      <c r="M399" t="str">
        <f>"Small Business"</f>
        <v>Small Business</v>
      </c>
      <c r="N399" t="str">
        <f>""</f>
        <v/>
      </c>
    </row>
    <row r="400" spans="1:14" x14ac:dyDescent="0.35">
      <c r="A400" t="s">
        <v>770</v>
      </c>
      <c r="B400" t="s">
        <v>119</v>
      </c>
      <c r="C400" s="2" t="s">
        <v>980</v>
      </c>
      <c r="D400" t="str">
        <f>"Principal"</f>
        <v>Principal</v>
      </c>
      <c r="E400" s="1"/>
      <c r="F400" t="str">
        <f>"Wallace Associates"</f>
        <v>Wallace Associates</v>
      </c>
      <c r="G400" t="str">
        <f>"1-9082165117"</f>
        <v>1-9082165117</v>
      </c>
      <c r="H400" t="str">
        <f>"31 Sherwood Drive"</f>
        <v>31 Sherwood Drive</v>
      </c>
      <c r="I400" t="str">
        <f>"  "</f>
        <v xml:space="preserve">  </v>
      </c>
      <c r="J400" t="str">
        <f>"Eatontown"</f>
        <v>Eatontown</v>
      </c>
      <c r="K400" t="str">
        <f>"New Jersey"</f>
        <v>New Jersey</v>
      </c>
      <c r="L400" t="str">
        <f>"07724"</f>
        <v>07724</v>
      </c>
      <c r="M400" t="str">
        <f>"VOSB|HUBZone|Small Business"</f>
        <v>VOSB|HUBZone|Small Business</v>
      </c>
      <c r="N400" t="str">
        <f>""</f>
        <v/>
      </c>
    </row>
    <row r="401" spans="1:14" x14ac:dyDescent="0.35">
      <c r="A401" t="s">
        <v>100</v>
      </c>
      <c r="B401" t="s">
        <v>76</v>
      </c>
      <c r="C401" s="2" t="s">
        <v>155</v>
      </c>
      <c r="D401" t="str">
        <f>"Director, Business Development"</f>
        <v>Director, Business Development</v>
      </c>
      <c r="E401" t="s">
        <v>23</v>
      </c>
      <c r="F401" t="str">
        <f>"SAIC"</f>
        <v>SAIC</v>
      </c>
      <c r="G401" t="str">
        <f>"1-8563169339"</f>
        <v>1-8563169339</v>
      </c>
      <c r="H401" t="str">
        <f>"12010 Sunset Hills Rd"</f>
        <v>12010 Sunset Hills Rd</v>
      </c>
      <c r="I401" t="str">
        <f>"  "</f>
        <v xml:space="preserve">  </v>
      </c>
      <c r="J401" t="str">
        <f>"Reston"</f>
        <v>Reston</v>
      </c>
      <c r="K401" t="str">
        <f>"VA"</f>
        <v>VA</v>
      </c>
      <c r="L401" t="str">
        <f>"20190"</f>
        <v>20190</v>
      </c>
      <c r="M401" t="str">
        <f>"Large Business"</f>
        <v>Large Business</v>
      </c>
      <c r="N401" t="str">
        <f>""</f>
        <v/>
      </c>
    </row>
    <row r="402" spans="1:14" x14ac:dyDescent="0.35">
      <c r="A402" t="s">
        <v>1097</v>
      </c>
      <c r="B402" t="s">
        <v>292</v>
      </c>
      <c r="C402" s="2" t="s">
        <v>1098</v>
      </c>
      <c r="D402" t="str">
        <f>"President &amp; CEO"</f>
        <v>President &amp; CEO</v>
      </c>
      <c r="E402" s="1"/>
      <c r="F402" t="str">
        <f>"C6I Services Corp"</f>
        <v>C6I Services Corp</v>
      </c>
      <c r="G402" t="str">
        <f>"1-6097529037"</f>
        <v>1-6097529037</v>
      </c>
      <c r="H402" t="str">
        <f>"33 Fenton Lane"</f>
        <v>33 Fenton Lane</v>
      </c>
      <c r="I402" t="str">
        <f>"  "</f>
        <v xml:space="preserve">  </v>
      </c>
      <c r="J402" t="str">
        <f>"Chesterfield"</f>
        <v>Chesterfield</v>
      </c>
      <c r="K402" t="str">
        <f>"NJ"</f>
        <v>NJ</v>
      </c>
      <c r="L402" t="str">
        <f>"08515"</f>
        <v>08515</v>
      </c>
      <c r="M402" t="str">
        <f>"SDVOSB|VOSB|Small Business|Small Disadvantaged Business"</f>
        <v>SDVOSB|VOSB|Small Business|Small Disadvantaged Business</v>
      </c>
      <c r="N402" t="str">
        <f>""</f>
        <v/>
      </c>
    </row>
    <row r="403" spans="1:14" x14ac:dyDescent="0.35">
      <c r="A403" t="s">
        <v>827</v>
      </c>
      <c r="B403" t="s">
        <v>826</v>
      </c>
      <c r="C403" s="2" t="s">
        <v>828</v>
      </c>
      <c r="D403" t="str">
        <f>"Technology Sales Leader"</f>
        <v>Technology Sales Leader</v>
      </c>
      <c r="E403" s="1"/>
      <c r="F403" t="str">
        <f>"IBM"</f>
        <v>IBM</v>
      </c>
      <c r="G403" t="str">
        <f>"1-7033367483"</f>
        <v>1-7033367483</v>
      </c>
      <c r="H403" t="str">
        <f>"2300 Dulles Station Blvd"</f>
        <v>2300 Dulles Station Blvd</v>
      </c>
      <c r="I403" t="str">
        <f>"  "</f>
        <v xml:space="preserve">  </v>
      </c>
      <c r="J403" t="str">
        <f>"Herndon"</f>
        <v>Herndon</v>
      </c>
      <c r="K403" t="str">
        <f>"VA"</f>
        <v>VA</v>
      </c>
      <c r="L403" t="str">
        <f>"20171"</f>
        <v>20171</v>
      </c>
      <c r="M403" t="str">
        <f>"Large Business"</f>
        <v>Large Business</v>
      </c>
      <c r="N403" t="str">
        <f>"www.ibm.com"</f>
        <v>www.ibm.com</v>
      </c>
    </row>
    <row r="404" spans="1:14" x14ac:dyDescent="0.35">
      <c r="A404" t="s">
        <v>195</v>
      </c>
      <c r="B404" t="s">
        <v>194</v>
      </c>
      <c r="C404" s="2" t="s">
        <v>196</v>
      </c>
      <c r="D404" t="str">
        <f>"Business Analyst"</f>
        <v>Business Analyst</v>
      </c>
      <c r="E404" s="1"/>
      <c r="F404" t="str">
        <f>"InnoVet Health"</f>
        <v>InnoVet Health</v>
      </c>
      <c r="G404" t="str">
        <f>"1-8167858916"</f>
        <v>1-8167858916</v>
      </c>
      <c r="H404" t="str">
        <f>"1814 Waterston Ave."</f>
        <v>1814 Waterston Ave.</v>
      </c>
      <c r="I404" t="str">
        <f>"#208"</f>
        <v>#208</v>
      </c>
      <c r="J404" t="str">
        <f>"Austin"</f>
        <v>Austin</v>
      </c>
      <c r="K404" t="str">
        <f>"TX"</f>
        <v>TX</v>
      </c>
      <c r="L404" t="str">
        <f>"78703"</f>
        <v>78703</v>
      </c>
      <c r="M404" t="str">
        <f>"SDVOSB"</f>
        <v>SDVOSB</v>
      </c>
      <c r="N404" t="str">
        <f>""</f>
        <v/>
      </c>
    </row>
    <row r="405" spans="1:14" x14ac:dyDescent="0.35">
      <c r="A405" t="s">
        <v>628</v>
      </c>
      <c r="B405" t="s">
        <v>49</v>
      </c>
      <c r="C405" s="2" t="s">
        <v>629</v>
      </c>
      <c r="D405" t="str">
        <f>"Vice President"</f>
        <v>Vice President</v>
      </c>
      <c r="E405" t="s">
        <v>22</v>
      </c>
      <c r="F405" t="str">
        <f>"LTTS"</f>
        <v>LTTS</v>
      </c>
      <c r="G405" t="str">
        <f>"1-7275044542"</f>
        <v>1-7275044542</v>
      </c>
      <c r="H405" t="str">
        <f>"16012 4th St E 1637"</f>
        <v>16012 4th St E 1637</v>
      </c>
      <c r="I405" t="str">
        <f>"  "</f>
        <v xml:space="preserve">  </v>
      </c>
      <c r="J405" t="str">
        <f>"Redington Beach"</f>
        <v>Redington Beach</v>
      </c>
      <c r="K405" t="str">
        <f>"FL"</f>
        <v>FL</v>
      </c>
      <c r="L405" t="str">
        <f>"33708"</f>
        <v>33708</v>
      </c>
      <c r="M405" t="str">
        <f>"Large Business"</f>
        <v>Large Business</v>
      </c>
      <c r="N405" t="str">
        <f>"www.lts.com"</f>
        <v>www.lts.com</v>
      </c>
    </row>
    <row r="406" spans="1:14" x14ac:dyDescent="0.35">
      <c r="A406" t="s">
        <v>107</v>
      </c>
      <c r="B406" t="s">
        <v>106</v>
      </c>
      <c r="C406" s="2" t="s">
        <v>108</v>
      </c>
      <c r="D406" t="str">
        <f>"VP, Strategic Corporate Accounts - Federal"</f>
        <v>VP, Strategic Corporate Accounts - Federal</v>
      </c>
      <c r="E406" t="s">
        <v>34</v>
      </c>
      <c r="F406" t="str">
        <f>"Siemens Healthineers"</f>
        <v>Siemens Healthineers</v>
      </c>
      <c r="G406" t="str">
        <f>"1-7044589260"</f>
        <v>1-7044589260</v>
      </c>
      <c r="H406" t="str">
        <f>"40 Liberty Blvd."</f>
        <v>40 Liberty Blvd.</v>
      </c>
      <c r="I406" t="str">
        <f>"  "</f>
        <v xml:space="preserve">  </v>
      </c>
      <c r="J406" t="str">
        <f>"Malvern"</f>
        <v>Malvern</v>
      </c>
      <c r="K406" t="str">
        <f>"PA"</f>
        <v>PA</v>
      </c>
      <c r="L406" t="str">
        <f>"19355"</f>
        <v>19355</v>
      </c>
      <c r="M406" t="str">
        <f>"Large Business"</f>
        <v>Large Business</v>
      </c>
      <c r="N406" t="str">
        <f>"www.usa.siemens.com/healthineers"</f>
        <v>www.usa.siemens.com/healthineers</v>
      </c>
    </row>
    <row r="407" spans="1:14" x14ac:dyDescent="0.35">
      <c r="A407" t="s">
        <v>830</v>
      </c>
      <c r="B407" t="s">
        <v>829</v>
      </c>
      <c r="C407" s="2" t="s">
        <v>831</v>
      </c>
      <c r="D407" t="str">
        <f>"Account Director"</f>
        <v>Account Director</v>
      </c>
      <c r="E407" t="s">
        <v>23</v>
      </c>
      <c r="F407" t="str">
        <f>"Adobe"</f>
        <v>Adobe</v>
      </c>
      <c r="G407" t="str">
        <f>"1-7036299092"</f>
        <v>1-7036299092</v>
      </c>
      <c r="H407" t="str">
        <f>"7930 Jones Branch Drive"</f>
        <v>7930 Jones Branch Drive</v>
      </c>
      <c r="I407" t="str">
        <f>"5th floor"</f>
        <v>5th floor</v>
      </c>
      <c r="J407" t="str">
        <f>"McLean"</f>
        <v>McLean</v>
      </c>
      <c r="K407" t="str">
        <f>"VA"</f>
        <v>VA</v>
      </c>
      <c r="L407" t="str">
        <f>"22102"</f>
        <v>22102</v>
      </c>
      <c r="M407" t="str">
        <f>"Large Business"</f>
        <v>Large Business</v>
      </c>
      <c r="N407" t="str">
        <f>"www.adobe.com"</f>
        <v>www.adobe.com</v>
      </c>
    </row>
    <row r="408" spans="1:14" x14ac:dyDescent="0.35">
      <c r="A408" t="s">
        <v>748</v>
      </c>
      <c r="B408" t="s">
        <v>264</v>
      </c>
      <c r="C408" s="2" t="s">
        <v>749</v>
      </c>
      <c r="D408" t="str">
        <f>"Director of Sales"</f>
        <v>Director of Sales</v>
      </c>
      <c r="E408" s="1"/>
      <c r="F408" t="str">
        <f>"M Powered Strategies"</f>
        <v>M Powered Strategies</v>
      </c>
      <c r="G408" t="str">
        <f>"1-2624224421"</f>
        <v>1-2624224421</v>
      </c>
      <c r="H408" t="str">
        <f>"1616 H St NW Ste 1010"</f>
        <v>1616 H St NW Ste 1010</v>
      </c>
      <c r="I408" t="str">
        <f>"Suite 1010"</f>
        <v>Suite 1010</v>
      </c>
      <c r="J408" t="str">
        <f>"Washington"</f>
        <v>Washington</v>
      </c>
      <c r="K408" t="str">
        <f>"DC"</f>
        <v>DC</v>
      </c>
      <c r="L408" t="str">
        <f>"20006"</f>
        <v>20006</v>
      </c>
      <c r="M408" t="str">
        <f>"HUBZone|Small Business"</f>
        <v>HUBZone|Small Business</v>
      </c>
      <c r="N408" t="str">
        <f>"https://www.mpoweredstrategies.com/"</f>
        <v>https://www.mpoweredstrategies.com/</v>
      </c>
    </row>
    <row r="409" spans="1:14" x14ac:dyDescent="0.35">
      <c r="A409" t="s">
        <v>169</v>
      </c>
      <c r="B409" t="s">
        <v>76</v>
      </c>
      <c r="C409" s="2" t="s">
        <v>170</v>
      </c>
      <c r="D409" t="str">
        <f>"Director of Cloud"</f>
        <v>Director of Cloud</v>
      </c>
      <c r="E409" t="s">
        <v>22</v>
      </c>
      <c r="F409" t="str">
        <f>"Pyramid Systems"</f>
        <v>Pyramid Systems</v>
      </c>
      <c r="G409" t="str">
        <f>"1-7038958603"</f>
        <v>1-7038958603</v>
      </c>
      <c r="H409" t="str">
        <f>"2677 Prosperity Ave"</f>
        <v>2677 Prosperity Ave</v>
      </c>
      <c r="I409" t="str">
        <f>"Suite 700"</f>
        <v>Suite 700</v>
      </c>
      <c r="J409" t="str">
        <f>"Fairfax"</f>
        <v>Fairfax</v>
      </c>
      <c r="K409" t="str">
        <f>"VA"</f>
        <v>VA</v>
      </c>
      <c r="L409" t="str">
        <f>"22031"</f>
        <v>22031</v>
      </c>
      <c r="M409" t="str">
        <f>"Large Business"</f>
        <v>Large Business</v>
      </c>
      <c r="N409" t="str">
        <f>"https://www.pyramidsystems.com"</f>
        <v>https://www.pyramidsystems.com</v>
      </c>
    </row>
    <row r="410" spans="1:14" x14ac:dyDescent="0.35">
      <c r="A410" t="s">
        <v>60</v>
      </c>
      <c r="B410" t="s">
        <v>59</v>
      </c>
      <c r="C410" s="2" t="s">
        <v>61</v>
      </c>
      <c r="D410" t="str">
        <f>"VP"</f>
        <v>VP</v>
      </c>
      <c r="E410" t="s">
        <v>23</v>
      </c>
      <c r="F410" t="str">
        <f>"DMI, Inc"</f>
        <v>DMI, Inc</v>
      </c>
      <c r="G410" t="str">
        <f>"1-3042796248"</f>
        <v>1-3042796248</v>
      </c>
      <c r="H410" t="str">
        <f>"1600 International Dr"</f>
        <v>1600 International Dr</v>
      </c>
      <c r="I410" t="str">
        <f>"  "</f>
        <v xml:space="preserve">  </v>
      </c>
      <c r="J410" t="str">
        <f>"McLean"</f>
        <v>McLean</v>
      </c>
      <c r="K410" t="str">
        <f>"Virginia"</f>
        <v>Virginia</v>
      </c>
      <c r="L410" t="str">
        <f>"22102"</f>
        <v>22102</v>
      </c>
      <c r="M410" t="str">
        <f>"Large Business"</f>
        <v>Large Business</v>
      </c>
      <c r="N410" t="str">
        <f>""</f>
        <v/>
      </c>
    </row>
    <row r="411" spans="1:14" x14ac:dyDescent="0.35">
      <c r="A411" t="s">
        <v>922</v>
      </c>
      <c r="B411" t="s">
        <v>470</v>
      </c>
      <c r="C411" s="2" t="s">
        <v>923</v>
      </c>
      <c r="D411" t="str">
        <f>"Managing Partner"</f>
        <v>Managing Partner</v>
      </c>
      <c r="E411" s="1"/>
      <c r="F411" t="str">
        <f>"Eleven09 LLC"</f>
        <v>Eleven09 LLC</v>
      </c>
      <c r="G411" t="str">
        <f>"1-7046776625"</f>
        <v>1-7046776625</v>
      </c>
      <c r="H411" t="str">
        <f>"7989 Glenn Ferry Rd"</f>
        <v>7989 Glenn Ferry Rd</v>
      </c>
      <c r="I411" t="str">
        <f>"  "</f>
        <v xml:space="preserve">  </v>
      </c>
      <c r="J411" t="str">
        <f>"Pfafftown"</f>
        <v>Pfafftown</v>
      </c>
      <c r="K411" t="str">
        <f>"NC"</f>
        <v>NC</v>
      </c>
      <c r="L411" t="str">
        <f>"27040"</f>
        <v>27040</v>
      </c>
      <c r="M411" t="str">
        <f>"SDVOSB|VOSB|Small Business"</f>
        <v>SDVOSB|VOSB|Small Business</v>
      </c>
      <c r="N411" t="str">
        <f>"www.eleven-09.com"</f>
        <v>www.eleven-09.com</v>
      </c>
    </row>
    <row r="412" spans="1:14" x14ac:dyDescent="0.35">
      <c r="A412" t="s">
        <v>1032</v>
      </c>
      <c r="B412" t="s">
        <v>157</v>
      </c>
      <c r="C412" s="2" t="s">
        <v>1033</v>
      </c>
      <c r="D412" t="str">
        <f>"Director of Contracts"</f>
        <v>Director of Contracts</v>
      </c>
      <c r="E412" t="s">
        <v>22</v>
      </c>
      <c r="F412" t="str">
        <f>"SBG Technology Solutions"</f>
        <v>SBG Technology Solutions</v>
      </c>
      <c r="G412" t="str">
        <f>"1-703-299-9093"</f>
        <v>1-703-299-9093</v>
      </c>
      <c r="H412" t="str">
        <f>"1737 King Street, Suite 601"</f>
        <v>1737 King Street, Suite 601</v>
      </c>
      <c r="I412" t="str">
        <f>"Alexandria"</f>
        <v>Alexandria</v>
      </c>
      <c r="J412" t="str">
        <f>"VA"</f>
        <v>VA</v>
      </c>
      <c r="K412" t="str">
        <f>"Virginia"</f>
        <v>Virginia</v>
      </c>
      <c r="L412" t="str">
        <f>"22312"</f>
        <v>22312</v>
      </c>
      <c r="M412" t="str">
        <f>"Large Business"</f>
        <v>Large Business</v>
      </c>
      <c r="N412" t="str">
        <f>"www.sbgts.com"</f>
        <v>www.sbgts.com</v>
      </c>
    </row>
    <row r="413" spans="1:14" x14ac:dyDescent="0.35">
      <c r="A413" t="s">
        <v>18</v>
      </c>
      <c r="B413" t="s">
        <v>565</v>
      </c>
      <c r="C413" s="2" t="s">
        <v>951</v>
      </c>
      <c r="D413" t="str">
        <f>"Administrator"</f>
        <v>Administrator</v>
      </c>
      <c r="E413" s="1"/>
      <c r="F413" t="str">
        <f>"The Computer Consulting Group, LLC"</f>
        <v>The Computer Consulting Group, LLC</v>
      </c>
      <c r="G413" t="str">
        <f>"1-2052660372"</f>
        <v>1-2052660372</v>
      </c>
      <c r="H413" t="str">
        <f>"445 Dexter Avenue"</f>
        <v>445 Dexter Avenue</v>
      </c>
      <c r="I413" t="str">
        <f>"4050"</f>
        <v>4050</v>
      </c>
      <c r="J413" t="str">
        <f>"Montgomery"</f>
        <v>Montgomery</v>
      </c>
      <c r="K413" t="str">
        <f>"AL"</f>
        <v>AL</v>
      </c>
      <c r="L413" t="str">
        <f>"36104"</f>
        <v>36104</v>
      </c>
      <c r="M413" t="str">
        <f>"VOSB|WOSB|Small Business"</f>
        <v>VOSB|WOSB|Small Business</v>
      </c>
      <c r="N413" t="str">
        <f>"ccg-al.com"</f>
        <v>ccg-al.com</v>
      </c>
    </row>
    <row r="414" spans="1:14" x14ac:dyDescent="0.35">
      <c r="A414" t="s">
        <v>18</v>
      </c>
      <c r="B414" t="s">
        <v>963</v>
      </c>
      <c r="C414" s="2" t="s">
        <v>964</v>
      </c>
      <c r="D414" t="str">
        <f>"VA Account Executive"</f>
        <v>VA Account Executive</v>
      </c>
      <c r="E414" t="s">
        <v>34</v>
      </c>
      <c r="F414" t="str">
        <f>"BeyondTrust"</f>
        <v>BeyondTrust</v>
      </c>
      <c r="G414" t="str">
        <f>"1-7038500619"</f>
        <v>1-7038500619</v>
      </c>
      <c r="H414" t="str">
        <f>"46443 Saffron Court"</f>
        <v>46443 Saffron Court</v>
      </c>
      <c r="I414" t="str">
        <f>"  "</f>
        <v xml:space="preserve">  </v>
      </c>
      <c r="J414" t="str">
        <f>"STERLING"</f>
        <v>STERLING</v>
      </c>
      <c r="K414" t="str">
        <f>"VA"</f>
        <v>VA</v>
      </c>
      <c r="L414" t="str">
        <f>"20165"</f>
        <v>20165</v>
      </c>
      <c r="M414" t="str">
        <f>"N/A"</f>
        <v>N/A</v>
      </c>
      <c r="N414" t="str">
        <f>"www.beyondtrust.com"</f>
        <v>www.beyondtrust.com</v>
      </c>
    </row>
    <row r="415" spans="1:14" x14ac:dyDescent="0.35">
      <c r="A415" t="s">
        <v>268</v>
      </c>
      <c r="B415" t="s">
        <v>267</v>
      </c>
      <c r="C415" s="2" t="s">
        <v>269</v>
      </c>
      <c r="D415" t="str">
        <f>"Solutions Expert"</f>
        <v>Solutions Expert</v>
      </c>
      <c r="E415" t="s">
        <v>23</v>
      </c>
      <c r="F415" t="str">
        <f>"General Dynamics Information Technology"</f>
        <v>General Dynamics Information Technology</v>
      </c>
      <c r="G415" t="str">
        <f>"1-7329965706"</f>
        <v>1-7329965706</v>
      </c>
      <c r="H415" t="str">
        <f>"1302 Boxwood Dr"</f>
        <v>1302 Boxwood Dr</v>
      </c>
      <c r="I415" t="str">
        <f>"  "</f>
        <v xml:space="preserve">  </v>
      </c>
      <c r="J415" t="str">
        <f>"Sea Girt"</f>
        <v>Sea Girt</v>
      </c>
      <c r="K415" t="str">
        <f>"NJ"</f>
        <v>NJ</v>
      </c>
      <c r="L415" t="str">
        <f>"08750"</f>
        <v>08750</v>
      </c>
      <c r="M415" t="str">
        <f>"Large Business"</f>
        <v>Large Business</v>
      </c>
      <c r="N415" t="str">
        <f>""</f>
        <v/>
      </c>
    </row>
    <row r="416" spans="1:14" x14ac:dyDescent="0.35">
      <c r="A416" t="s">
        <v>452</v>
      </c>
      <c r="B416" t="s">
        <v>451</v>
      </c>
      <c r="C416" s="2" t="s">
        <v>453</v>
      </c>
      <c r="D416" t="str">
        <f>"Vice President, Strategic Development and Partnerships"</f>
        <v>Vice President, Strategic Development and Partnerships</v>
      </c>
      <c r="E416" t="s">
        <v>22</v>
      </c>
      <c r="F416" t="str">
        <f>"Totally Joined For Achieving Collaborative Techniques, LLC"</f>
        <v>Totally Joined For Achieving Collaborative Techniques, LLC</v>
      </c>
      <c r="G416" t="str">
        <f>"1-2027798299"</f>
        <v>1-2027798299</v>
      </c>
      <c r="H416" t="str">
        <f>"50 Hurt Plaza, SE"</f>
        <v>50 Hurt Plaza, SE</v>
      </c>
      <c r="I416" t="str">
        <f>"Suite 1600"</f>
        <v>Suite 1600</v>
      </c>
      <c r="J416" t="str">
        <f>"Atlanta"</f>
        <v>Atlanta</v>
      </c>
      <c r="K416" t="str">
        <f>"GA"</f>
        <v>GA</v>
      </c>
      <c r="L416" t="str">
        <f>"30303"</f>
        <v>30303</v>
      </c>
      <c r="M416" t="str">
        <f>"SDVOSB|HUBZone|Small Business"</f>
        <v>SDVOSB|HUBZone|Small Business</v>
      </c>
      <c r="N416" t="str">
        <f>"www.tjfact.com"</f>
        <v>www.tjfact.com</v>
      </c>
    </row>
    <row r="417" spans="1:14" x14ac:dyDescent="0.35">
      <c r="A417" t="s">
        <v>673</v>
      </c>
      <c r="B417" t="s">
        <v>379</v>
      </c>
      <c r="C417" s="2" t="s">
        <v>674</v>
      </c>
      <c r="D417" t="str">
        <f>"Senior Vice President"</f>
        <v>Senior Vice President</v>
      </c>
      <c r="E417" s="1"/>
      <c r="F417" t="str">
        <f>"CGI Federal"</f>
        <v>CGI Federal</v>
      </c>
      <c r="G417" t="str">
        <f>"1-5715229389"</f>
        <v>1-5715229389</v>
      </c>
      <c r="H417" t="str">
        <f>"1000 N Glebe Road"</f>
        <v>1000 N Glebe Road</v>
      </c>
      <c r="I417" t="str">
        <f>"  "</f>
        <v xml:space="preserve">  </v>
      </c>
      <c r="J417" t="str">
        <f>"Arlington"</f>
        <v>Arlington</v>
      </c>
      <c r="K417" t="str">
        <f>"Virginia"</f>
        <v>Virginia</v>
      </c>
      <c r="L417" t="str">
        <f>"22201"</f>
        <v>22201</v>
      </c>
      <c r="M417" t="str">
        <f>"Large Business"</f>
        <v>Large Business</v>
      </c>
      <c r="N417" t="str">
        <f>"https://www.cgi.com/us/en-us/federal"</f>
        <v>https://www.cgi.com/us/en-us/federal</v>
      </c>
    </row>
    <row r="418" spans="1:14" x14ac:dyDescent="0.35">
      <c r="A418" t="s">
        <v>510</v>
      </c>
      <c r="B418" t="s">
        <v>38</v>
      </c>
      <c r="C418" s="2" t="s">
        <v>511</v>
      </c>
      <c r="D418" t="str">
        <f>"Senior Director"</f>
        <v>Senior Director</v>
      </c>
      <c r="E418" t="s">
        <v>23</v>
      </c>
      <c r="F418" t="str">
        <f>"Peraton"</f>
        <v>Peraton</v>
      </c>
      <c r="G418" t="str">
        <f>"1-7036373858"</f>
        <v>1-7036373858</v>
      </c>
      <c r="H418" t="str">
        <f>"12975 Worldgate Dr"</f>
        <v>12975 Worldgate Dr</v>
      </c>
      <c r="I418" t="str">
        <f>"  "</f>
        <v xml:space="preserve">  </v>
      </c>
      <c r="J418" t="str">
        <f>"Herndon"</f>
        <v>Herndon</v>
      </c>
      <c r="K418" t="str">
        <f>"VA"</f>
        <v>VA</v>
      </c>
      <c r="L418" t="str">
        <f>"20170"</f>
        <v>20170</v>
      </c>
      <c r="M418" t="str">
        <f>"Large Business"</f>
        <v>Large Business</v>
      </c>
      <c r="N418" t="str">
        <f>""</f>
        <v/>
      </c>
    </row>
    <row r="419" spans="1:14" x14ac:dyDescent="0.35">
      <c r="A419" t="s">
        <v>210</v>
      </c>
      <c r="B419" t="s">
        <v>209</v>
      </c>
      <c r="C419" s="2" t="s">
        <v>211</v>
      </c>
      <c r="D419" t="str">
        <f>"SBD"</f>
        <v>SBD</v>
      </c>
      <c r="E419" t="s">
        <v>23</v>
      </c>
      <c r="F419" t="str">
        <f>"Salesforce"</f>
        <v>Salesforce</v>
      </c>
      <c r="G419" t="str">
        <f>"1-5719101941"</f>
        <v>1-5719101941</v>
      </c>
      <c r="H419" t="str">
        <f>"1801 K St NW"</f>
        <v>1801 K St NW</v>
      </c>
      <c r="I419" t="str">
        <f>"  "</f>
        <v xml:space="preserve">  </v>
      </c>
      <c r="J419" t="str">
        <f>"Washington"</f>
        <v>Washington</v>
      </c>
      <c r="K419" t="str">
        <f>"DC"</f>
        <v>DC</v>
      </c>
      <c r="L419" t="str">
        <f>"20006"</f>
        <v>20006</v>
      </c>
      <c r="M419" t="str">
        <f>"N/A"</f>
        <v>N/A</v>
      </c>
      <c r="N419" t="str">
        <f>""</f>
        <v/>
      </c>
    </row>
    <row r="420" spans="1:14" x14ac:dyDescent="0.35">
      <c r="A420" t="s">
        <v>421</v>
      </c>
      <c r="B420" t="s">
        <v>17</v>
      </c>
      <c r="C420" s="2" t="s">
        <v>422</v>
      </c>
      <c r="D420" t="str">
        <f>"COO"</f>
        <v>COO</v>
      </c>
      <c r="E420" s="1"/>
      <c r="F420" t="str">
        <f>"Maveris"</f>
        <v>Maveris</v>
      </c>
      <c r="G420" t="str">
        <f>"1-3043152786"</f>
        <v>1-3043152786</v>
      </c>
      <c r="H420" t="str">
        <f>"126 E Burke St Ste 19"</f>
        <v>126 E Burke St Ste 19</v>
      </c>
      <c r="I420" t="str">
        <f>"  "</f>
        <v xml:space="preserve">  </v>
      </c>
      <c r="J420" t="str">
        <f>"Martinsburg"</f>
        <v>Martinsburg</v>
      </c>
      <c r="K420" t="str">
        <f>"WV"</f>
        <v>WV</v>
      </c>
      <c r="L420" t="str">
        <f>"25401"</f>
        <v>25401</v>
      </c>
      <c r="M420" t="str">
        <f>"SDVOSB|VOSB|Small Business"</f>
        <v>SDVOSB|VOSB|Small Business</v>
      </c>
      <c r="N420" t="str">
        <f>"https://maveris.com"</f>
        <v>https://maveris.com</v>
      </c>
    </row>
    <row r="421" spans="1:14" x14ac:dyDescent="0.35">
      <c r="A421" t="s">
        <v>716</v>
      </c>
      <c r="B421" t="s">
        <v>715</v>
      </c>
      <c r="C421" s="2" t="s">
        <v>717</v>
      </c>
      <c r="D421" t="str">
        <f>"Director"</f>
        <v>Director</v>
      </c>
      <c r="E421" t="s">
        <v>23</v>
      </c>
      <c r="F421" t="str">
        <f>"Tanium"</f>
        <v>Tanium</v>
      </c>
      <c r="G421" t="str">
        <f>"1-7203058991"</f>
        <v>1-7203058991</v>
      </c>
      <c r="H421" t="str">
        <f>"3550 Carillon Point"</f>
        <v>3550 Carillon Point</v>
      </c>
      <c r="I421" t="str">
        <f>"  "</f>
        <v xml:space="preserve">  </v>
      </c>
      <c r="J421" t="str">
        <f>"Kirkland"</f>
        <v>Kirkland</v>
      </c>
      <c r="K421" t="str">
        <f>"WA"</f>
        <v>WA</v>
      </c>
      <c r="L421" t="str">
        <f>"98033"</f>
        <v>98033</v>
      </c>
      <c r="M421" t="str">
        <f>"Large Business"</f>
        <v>Large Business</v>
      </c>
      <c r="N421" t="str">
        <f>""</f>
        <v/>
      </c>
    </row>
    <row r="422" spans="1:14" x14ac:dyDescent="0.35">
      <c r="A422" t="s">
        <v>790</v>
      </c>
      <c r="B422" t="s">
        <v>789</v>
      </c>
      <c r="C422" s="2" t="s">
        <v>791</v>
      </c>
      <c r="D422" t="str">
        <f>"Vice President"</f>
        <v>Vice President</v>
      </c>
      <c r="E422" t="s">
        <v>23</v>
      </c>
      <c r="F422" t="str">
        <f>"GDIT"</f>
        <v>GDIT</v>
      </c>
      <c r="G422" t="str">
        <f>"1-5713811000"</f>
        <v>1-5713811000</v>
      </c>
      <c r="H422" t="str">
        <f>"6003 Executive Boulevard"</f>
        <v>6003 Executive Boulevard</v>
      </c>
      <c r="I422" t="str">
        <f>"  "</f>
        <v xml:space="preserve">  </v>
      </c>
      <c r="J422" t="str">
        <f>"Rockville"</f>
        <v>Rockville</v>
      </c>
      <c r="K422" t="str">
        <f>"MD"</f>
        <v>MD</v>
      </c>
      <c r="L422" t="str">
        <f>"20852"</f>
        <v>20852</v>
      </c>
      <c r="M422" t="str">
        <f>"Large Business"</f>
        <v>Large Business</v>
      </c>
      <c r="N422" t="str">
        <f>""</f>
        <v/>
      </c>
    </row>
    <row r="423" spans="1:14" x14ac:dyDescent="0.35">
      <c r="A423" t="s">
        <v>864</v>
      </c>
      <c r="B423" t="s">
        <v>863</v>
      </c>
      <c r="C423" s="2" t="s">
        <v>865</v>
      </c>
      <c r="D423" t="str">
        <f>"Business Development &amp; Capture Manager"</f>
        <v>Business Development &amp; Capture Manager</v>
      </c>
      <c r="E423" t="s">
        <v>22</v>
      </c>
      <c r="F423" t="str">
        <f>"BEAT LLC"</f>
        <v>BEAT LLC</v>
      </c>
      <c r="G423" t="str">
        <f>"1-2104788427"</f>
        <v>1-2104788427</v>
      </c>
      <c r="H423" t="str">
        <f>"802 E. Quincy"</f>
        <v>802 E. Quincy</v>
      </c>
      <c r="I423" t="str">
        <f>"  "</f>
        <v xml:space="preserve">  </v>
      </c>
      <c r="J423" t="str">
        <f>"San Antonio"</f>
        <v>San Antonio</v>
      </c>
      <c r="K423" t="str">
        <f>"Texas"</f>
        <v>Texas</v>
      </c>
      <c r="L423" t="str">
        <f>"78215"</f>
        <v>78215</v>
      </c>
      <c r="M423" t="str">
        <f>"8(A)|Small Business|Small Disadvantaged Business"</f>
        <v>8(A)|Small Business|Small Disadvantaged Business</v>
      </c>
      <c r="N423" t="str">
        <f>"www.beatllc.com"</f>
        <v>www.beatllc.com</v>
      </c>
    </row>
    <row r="424" spans="1:14" x14ac:dyDescent="0.35">
      <c r="A424" t="s">
        <v>1063</v>
      </c>
      <c r="B424" t="s">
        <v>1062</v>
      </c>
      <c r="C424" s="2" t="s">
        <v>1064</v>
      </c>
      <c r="D424" t="str">
        <f>"CEO &amp; President"</f>
        <v>CEO &amp; President</v>
      </c>
      <c r="E424" s="1"/>
      <c r="F424" t="str">
        <f>"zCore Group"</f>
        <v>zCore Group</v>
      </c>
      <c r="G424" t="str">
        <f>"1-15712282803"</f>
        <v>1-15712282803</v>
      </c>
      <c r="H424" t="str">
        <f>"Swan Creek Court"</f>
        <v>Swan Creek Court</v>
      </c>
      <c r="I424" t="str">
        <f>"  "</f>
        <v xml:space="preserve">  </v>
      </c>
      <c r="J424" t="str">
        <f>"Sterling"</f>
        <v>Sterling</v>
      </c>
      <c r="K424" t="str">
        <f>"VA"</f>
        <v>VA</v>
      </c>
      <c r="L424" t="str">
        <f>"20165"</f>
        <v>20165</v>
      </c>
      <c r="M424" t="str">
        <f>"SDVOSB|Small Business"</f>
        <v>SDVOSB|Small Business</v>
      </c>
      <c r="N424" t="str">
        <f>""</f>
        <v/>
      </c>
    </row>
    <row r="425" spans="1:14" x14ac:dyDescent="0.35">
      <c r="A425" t="s">
        <v>875</v>
      </c>
      <c r="B425" t="s">
        <v>874</v>
      </c>
      <c r="C425" s="2" t="s">
        <v>876</v>
      </c>
      <c r="D425" t="str">
        <f>"ATL"</f>
        <v>ATL</v>
      </c>
      <c r="E425" t="s">
        <v>23</v>
      </c>
      <c r="F425" t="str">
        <f>"IBM"</f>
        <v>IBM</v>
      </c>
      <c r="G425" t="str">
        <f>"1-2404490601"</f>
        <v>1-2404490601</v>
      </c>
      <c r="H425" t="str">
        <f>"6710 Rockledge Drive"</f>
        <v>6710 Rockledge Drive</v>
      </c>
      <c r="I425" t="str">
        <f>"  "</f>
        <v xml:space="preserve">  </v>
      </c>
      <c r="J425" t="str">
        <f>"Bethesda"</f>
        <v>Bethesda</v>
      </c>
      <c r="K425" t="str">
        <f>"Maryland"</f>
        <v>Maryland</v>
      </c>
      <c r="L425" t="str">
        <f>"20817"</f>
        <v>20817</v>
      </c>
      <c r="M425" t="str">
        <f>"Large Business"</f>
        <v>Large Business</v>
      </c>
      <c r="N425" t="str">
        <f>""</f>
        <v/>
      </c>
    </row>
    <row r="426" spans="1:14" x14ac:dyDescent="0.35">
      <c r="A426" t="s">
        <v>768</v>
      </c>
      <c r="B426" t="s">
        <v>767</v>
      </c>
      <c r="C426" s="2" t="s">
        <v>769</v>
      </c>
      <c r="D426" t="str">
        <f>"Capture Manager"</f>
        <v>Capture Manager</v>
      </c>
      <c r="E426" t="s">
        <v>22</v>
      </c>
      <c r="F426" t="str">
        <f>"IronArch Technology"</f>
        <v>IronArch Technology</v>
      </c>
      <c r="G426" t="str">
        <f>"1-7202316844"</f>
        <v>1-7202316844</v>
      </c>
      <c r="H426" t="str">
        <f>"1313 Dolley Madison Blvd"</f>
        <v>1313 Dolley Madison Blvd</v>
      </c>
      <c r="I426" t="str">
        <f>"  "</f>
        <v xml:space="preserve">  </v>
      </c>
      <c r="J426" t="str">
        <f>"McLean"</f>
        <v>McLean</v>
      </c>
      <c r="K426" t="str">
        <f>"VA"</f>
        <v>VA</v>
      </c>
      <c r="L426" t="str">
        <f>"22101"</f>
        <v>22101</v>
      </c>
      <c r="M426" t="str">
        <f>"SDVOSB"</f>
        <v>SDVOSB</v>
      </c>
      <c r="N426" t="str">
        <f>"ironarchtechnology.com"</f>
        <v>ironarchtechnology.com</v>
      </c>
    </row>
    <row r="427" spans="1:14" x14ac:dyDescent="0.35">
      <c r="A427" t="s">
        <v>237</v>
      </c>
      <c r="B427" t="s">
        <v>236</v>
      </c>
      <c r="C427" s="2" t="s">
        <v>238</v>
      </c>
      <c r="D427" t="str">
        <f>"Director"</f>
        <v>Director</v>
      </c>
      <c r="E427" s="1"/>
      <c r="F427" t="str">
        <f>"2ndWave LLC"</f>
        <v>2ndWave LLC</v>
      </c>
      <c r="G427" t="str">
        <f>"1-3016514496"</f>
        <v>1-3016514496</v>
      </c>
      <c r="H427" t="str">
        <f>"1300 Pennsylvania Ave. NW, Suite 700"</f>
        <v>1300 Pennsylvania Ave. NW, Suite 700</v>
      </c>
      <c r="I427" t="str">
        <f>"  "</f>
        <v xml:space="preserve">  </v>
      </c>
      <c r="J427" t="str">
        <f>"Washington"</f>
        <v>Washington</v>
      </c>
      <c r="K427" t="str">
        <f>"DC"</f>
        <v>DC</v>
      </c>
      <c r="L427" t="str">
        <f>"20004"</f>
        <v>20004</v>
      </c>
      <c r="M427" t="str">
        <f>"8(A)|SDVOSB|VOSB|Small Business|Small Disadvantaged Business"</f>
        <v>8(A)|SDVOSB|VOSB|Small Business|Small Disadvantaged Business</v>
      </c>
      <c r="N427" t="str">
        <f>"www.2ndwavellc.com"</f>
        <v>www.2ndwavellc.com</v>
      </c>
    </row>
  </sheetData>
  <autoFilter ref="B1:N427" xr:uid="{00000000-0009-0000-0000-000000000000}"/>
  <sortState xmlns:xlrd2="http://schemas.microsoft.com/office/spreadsheetml/2017/richdata2" ref="A2:O427">
    <sortCondition ref="A2:A427"/>
  </sortState>
  <conditionalFormatting sqref="C2:C427">
    <cfRule type="duplicateValues" dxfId="0" priority="23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APBI Vendor Attendees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Moran, Veronica</cp:lastModifiedBy>
  <dcterms:created xsi:type="dcterms:W3CDTF">2022-06-09T13:23:35Z</dcterms:created>
  <dcterms:modified xsi:type="dcterms:W3CDTF">2022-06-10T14:07:11Z</dcterms:modified>
</cp:coreProperties>
</file>